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heets/sheet1.xml" ContentType="application/vnd.openxmlformats-officedocument.spreadsheetml.chart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.xml" ContentType="application/vnd.openxmlformats-officedocument.drawing+xml"/>
  <Override PartName="/xl/charts/chart23.xml" ContentType="application/vnd.openxmlformats-officedocument.drawingml.chart+xml"/>
  <Override PartName="/xl/drawings/drawing4.xml" ContentType="application/vnd.openxmlformats-officedocument.drawing+xml"/>
  <Override PartName="/xl/charts/chart24.xml" ContentType="application/vnd.openxmlformats-officedocument.drawingml.chart+xml"/>
  <Override PartName="/xl/drawings/drawing5.xml" ContentType="application/vnd.openxmlformats-officedocument.drawing+xml"/>
  <Override PartName="/xl/charts/chart25.xml" ContentType="application/vnd.openxmlformats-officedocument.drawingml.chart+xml"/>
  <Override PartName="/xl/drawings/drawing6.xml" ContentType="application/vnd.openxmlformats-officedocument.drawing+xml"/>
  <Override PartName="/xl/charts/chart26.xml" ContentType="application/vnd.openxmlformats-officedocument.drawingml.chart+xml"/>
  <Override PartName="/xl/drawings/drawing7.xml" ContentType="application/vnd.openxmlformats-officedocument.drawing+xml"/>
  <Override PartName="/xl/charts/chart27.xml" ContentType="application/vnd.openxmlformats-officedocument.drawingml.chart+xml"/>
  <Override PartName="/xl/drawings/drawing8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31.xml" ContentType="application/vnd.openxmlformats-officedocument.drawingml.chart+xml"/>
  <Override PartName="/xl/drawings/drawing11.xml" ContentType="application/vnd.openxmlformats-officedocument.drawing+xml"/>
  <Override PartName="/xl/charts/chart32.xml" ContentType="application/vnd.openxmlformats-officedocument.drawingml.chart+xml"/>
  <Override PartName="/xl/drawings/drawing12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3.xml" ContentType="application/vnd.openxmlformats-officedocument.drawing+xml"/>
  <Override PartName="/xl/charts/chart35.xml" ContentType="application/vnd.openxmlformats-officedocument.drawingml.chart+xml"/>
  <Override PartName="/xl/drawings/drawing14.xml" ContentType="application/vnd.openxmlformats-officedocument.drawing+xml"/>
  <Override PartName="/xl/charts/chart36.xml" ContentType="application/vnd.openxmlformats-officedocument.drawingml.chart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drawings/drawing16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7.xml" ContentType="application/vnd.openxmlformats-officedocument.drawing+xml"/>
  <Override PartName="/xl/charts/chart3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8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19.xml" ContentType="application/vnd.openxmlformats-officedocument.drawing+xml"/>
  <Override PartName="/xl/charts/chart44.xml" ContentType="application/vnd.openxmlformats-officedocument.drawingml.chart+xml"/>
  <Override PartName="/xl/drawings/drawing20.xml" ContentType="application/vnd.openxmlformats-officedocument.drawing+xml"/>
  <Override PartName="/xl/charts/chart45.xml" ContentType="application/vnd.openxmlformats-officedocument.drawingml.chart+xml"/>
  <Override PartName="/xl/drawings/drawing21.xml" ContentType="application/vnd.openxmlformats-officedocument.drawing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+xml"/>
  <Override PartName="/xl/charts/chart4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6A020D4-4482-4D60-B5A0-8E7EF412C06E}" xr6:coauthVersionLast="47" xr6:coauthVersionMax="47" xr10:uidLastSave="{00000000-0000-0000-0000-000000000000}"/>
  <bookViews>
    <workbookView xWindow="-120" yWindow="-120" windowWidth="29040" windowHeight="15720" firstSheet="48" activeTab="56" xr2:uid="{00000000-000D-0000-FFFF-FFFF00000000}"/>
  </bookViews>
  <sheets>
    <sheet name="18" sheetId="7" r:id="rId1"/>
    <sheet name="20" sheetId="8" r:id="rId2"/>
    <sheet name="22" sheetId="9" r:id="rId3"/>
    <sheet name="24" sheetId="10" r:id="rId4"/>
    <sheet name="27" sheetId="11" r:id="rId5"/>
    <sheet name="30" sheetId="12" r:id="rId6"/>
    <sheet name="31" sheetId="13" r:id="rId7"/>
    <sheet name="32" sheetId="14" r:id="rId8"/>
    <sheet name="33" sheetId="15" r:id="rId9"/>
    <sheet name="39" sheetId="16" r:id="rId10"/>
    <sheet name="40" sheetId="17" r:id="rId11"/>
    <sheet name="41" sheetId="18" r:id="rId12"/>
    <sheet name="42" sheetId="19" r:id="rId13"/>
    <sheet name="44" sheetId="20" r:id="rId14"/>
    <sheet name="46" sheetId="21" r:id="rId15"/>
    <sheet name="47" sheetId="26" r:id="rId16"/>
    <sheet name="48" sheetId="22" r:id="rId17"/>
    <sheet name="49" sheetId="23" r:id="rId18"/>
    <sheet name="50" sheetId="24" r:id="rId19"/>
    <sheet name="52" sheetId="25" r:id="rId20"/>
    <sheet name="54" sheetId="27" r:id="rId21"/>
    <sheet name="55" sheetId="28" r:id="rId22"/>
    <sheet name="56 " sheetId="29" r:id="rId23"/>
    <sheet name="اهم دلایل باری" sheetId="30" r:id="rId24"/>
    <sheet name="p64" sheetId="61" r:id="rId25"/>
    <sheet name="p65" sheetId="62" r:id="rId26"/>
    <sheet name="p66" sheetId="63" r:id="rId27"/>
    <sheet name="p67" sheetId="64" r:id="rId28"/>
    <sheet name="p68" sheetId="65" r:id="rId29"/>
    <sheet name="p69" sheetId="66" r:id="rId30"/>
    <sheet name="p70" sheetId="67" r:id="rId31"/>
    <sheet name="p71" sheetId="68" r:id="rId32"/>
    <sheet name="p72" sheetId="69" r:id="rId33"/>
    <sheet name="p73" sheetId="70" r:id="rId34"/>
    <sheet name="p74" sheetId="71" r:id="rId35"/>
    <sheet name="اهم دلایل مسافریp77" sheetId="72" r:id="rId36"/>
    <sheet name="80j" sheetId="112" r:id="rId37"/>
    <sheet name="81j " sheetId="111" r:id="rId38"/>
    <sheet name="82j" sheetId="41" r:id="rId39"/>
    <sheet name="83j (2)" sheetId="110" r:id="rId40"/>
    <sheet name="84j" sheetId="106" r:id="rId41"/>
    <sheet name="85j" sheetId="130" r:id="rId42"/>
    <sheet name="86j" sheetId="113" r:id="rId43"/>
    <sheet name="87j (2)" sheetId="114" r:id="rId44"/>
    <sheet name="87j" sheetId="96" r:id="rId45"/>
    <sheet name="88j" sheetId="31" r:id="rId46"/>
    <sheet name="882j" sheetId="115" r:id="rId47"/>
    <sheet name="89j" sheetId="116" r:id="rId48"/>
    <sheet name="90j" sheetId="117" r:id="rId49"/>
    <sheet name="91j" sheetId="118" r:id="rId50"/>
    <sheet name="92j" sheetId="119" r:id="rId51"/>
    <sheet name="93j" sheetId="109" r:id="rId52"/>
    <sheet name="94j" sheetId="101" r:id="rId53"/>
    <sheet name="95j" sheetId="108" r:id="rId54"/>
    <sheet name="96j" sheetId="105" r:id="rId55"/>
    <sheet name="97j" sheetId="107" r:id="rId56"/>
    <sheet name="100-103j " sheetId="134" r:id="rId57"/>
    <sheet name="104j" sheetId="54" r:id="rId58"/>
    <sheet name="105j" sheetId="55" r:id="rId59"/>
    <sheet name="106j" sheetId="56" r:id="rId60"/>
    <sheet name="107j" sheetId="57" r:id="rId61"/>
    <sheet name="84" sheetId="123" r:id="rId62"/>
    <sheet name="85" sheetId="124" r:id="rId63"/>
    <sheet name="86" sheetId="125" r:id="rId64"/>
    <sheet name="89" sheetId="126" r:id="rId65"/>
    <sheet name="90" sheetId="127" r:id="rId66"/>
    <sheet name="113" sheetId="133" r:id="rId67"/>
    <sheet name="94" sheetId="128" r:id="rId68"/>
    <sheet name="97" sheetId="121" r:id="rId69"/>
    <sheet name="98" sheetId="122" r:id="rId70"/>
    <sheet name="95" sheetId="131" r:id="rId71"/>
    <sheet name="96" sheetId="132" r:id="rId72"/>
    <sheet name="131 (2)" sheetId="102" r:id="rId73"/>
    <sheet name="130j" sheetId="103" r:id="rId74"/>
    <sheet name="131" sheetId="5" r:id="rId75"/>
    <sheet name="132" sheetId="4" r:id="rId76"/>
    <sheet name="بخش خصوصی2" sheetId="73" r:id="rId77"/>
    <sheet name="بخش خصوصی3" sheetId="74" r:id="rId78"/>
    <sheet name="بخش خصوصی4" sheetId="75" r:id="rId79"/>
    <sheet name="بخش خصوصی5" sheetId="76" r:id="rId80"/>
    <sheet name="بخش خصوصی3 (2)" sheetId="93" r:id="rId81"/>
    <sheet name="بخش خصوصی4 (2)" sheetId="94" r:id="rId82"/>
    <sheet name="بخش خصوصی5 (2)" sheetId="95" r:id="rId83"/>
    <sheet name="136j" sheetId="99" r:id="rId84"/>
    <sheet name="132 (2)" sheetId="100" r:id="rId85"/>
    <sheet name="137j" sheetId="104" r:id="rId86"/>
    <sheet name="138j" sheetId="120" r:id="rId87"/>
  </sheets>
  <externalReferences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</externalReferences>
  <definedNames>
    <definedName name="_xlnm._FilterDatabase" localSheetId="56" hidden="1">'100-103j '!$A$94:$U$142</definedName>
    <definedName name="_xlnm._FilterDatabase" localSheetId="4" hidden="1">'27'!$A$3:$F$283</definedName>
    <definedName name="_xlnm._FilterDatabase" localSheetId="54" hidden="1">'96j'!$B$5:$I$27</definedName>
    <definedName name="_xlnm._FilterDatabase" localSheetId="69" hidden="1">'98'!$A$3:$F$3</definedName>
    <definedName name="_xlnm._FilterDatabase" localSheetId="23" hidden="1">'اهم دلایل باری'!$D$2:$F$70</definedName>
    <definedName name="farei" localSheetId="59">[1]Sheet5!$C$5:$C$6</definedName>
    <definedName name="farei" localSheetId="60">[1]Sheet5!$C$5:$C$6</definedName>
    <definedName name="farei" localSheetId="36">#REF!</definedName>
    <definedName name="farei" localSheetId="46">#REF!</definedName>
    <definedName name="farei" localSheetId="47">#REF!</definedName>
    <definedName name="farei" localSheetId="48">#REF!</definedName>
    <definedName name="farei" localSheetId="49">#REF!</definedName>
    <definedName name="farei" localSheetId="50">#REF!</definedName>
    <definedName name="farei" localSheetId="52">[2]Sheet5!$C$5:$C$6</definedName>
    <definedName name="farei">[2]Sheet5!$C$5:$C$6</definedName>
    <definedName name="keshesh">#REF!</definedName>
    <definedName name="_xlnm.Print_Area" localSheetId="0">'18'!$A$1:$N$28</definedName>
    <definedName name="_xlnm.Print_Area" localSheetId="1">'20'!$A$1:$P$19</definedName>
    <definedName name="_xlnm.Print_Area" localSheetId="2">'22'!$A$1:$AA$15</definedName>
    <definedName name="_xlnm.Print_Area" localSheetId="45">'88j'!$A$1:$J$27</definedName>
    <definedName name="_xlnm.Print_Area" localSheetId="70">'95'!$A$1:$H$33</definedName>
    <definedName name="_xlnm.Print_Area" localSheetId="71">'96'!$A$1:$I$37</definedName>
    <definedName name="_xlnm.Print_Area" localSheetId="24">'p64'!$A$1:$W$17</definedName>
    <definedName name="_xlnm.Print_Area" localSheetId="26">'p66'!#REF!</definedName>
    <definedName name="خطوط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63" i="134" l="1"/>
  <c r="X164" i="134"/>
  <c r="X165" i="134"/>
  <c r="X166" i="134"/>
  <c r="X167" i="134"/>
  <c r="X168" i="134"/>
  <c r="X162" i="134"/>
  <c r="AF82" i="134"/>
  <c r="AF83" i="134"/>
  <c r="AF84" i="134"/>
  <c r="AF81" i="134"/>
  <c r="W153" i="134"/>
  <c r="X153" i="134"/>
  <c r="Y153" i="134"/>
  <c r="Z153" i="134"/>
  <c r="AA153" i="134"/>
  <c r="AB153" i="134"/>
  <c r="W154" i="134"/>
  <c r="AE85" i="134"/>
  <c r="H169" i="134" l="1"/>
  <c r="P166" i="134"/>
  <c r="N166" i="134"/>
  <c r="J156" i="134"/>
  <c r="J162" i="134" s="1"/>
  <c r="I156" i="134"/>
  <c r="J163" i="134" s="1"/>
  <c r="P163" i="134" s="1"/>
  <c r="H156" i="134"/>
  <c r="J164" i="134" s="1"/>
  <c r="G156" i="134"/>
  <c r="J165" i="134" s="1"/>
  <c r="P165" i="134" s="1"/>
  <c r="F156" i="134"/>
  <c r="J168" i="134" s="1"/>
  <c r="P168" i="134" s="1"/>
  <c r="Y155" i="134"/>
  <c r="X155" i="134"/>
  <c r="R153" i="134"/>
  <c r="E153" i="134"/>
  <c r="R152" i="134"/>
  <c r="P152" i="134"/>
  <c r="N152" i="134"/>
  <c r="G152" i="134"/>
  <c r="AB151" i="134"/>
  <c r="AA151" i="134"/>
  <c r="Z151" i="134"/>
  <c r="Y151" i="134"/>
  <c r="X151" i="134"/>
  <c r="W151" i="134"/>
  <c r="AB150" i="134"/>
  <c r="AB152" i="134" s="1"/>
  <c r="AA150" i="134"/>
  <c r="AA152" i="134" s="1"/>
  <c r="Z150" i="134"/>
  <c r="Z152" i="134" s="1"/>
  <c r="Y150" i="134"/>
  <c r="Y152" i="134" s="1"/>
  <c r="X150" i="134"/>
  <c r="X152" i="134" s="1"/>
  <c r="W150" i="134"/>
  <c r="S141" i="134"/>
  <c r="S153" i="134" s="1"/>
  <c r="R141" i="134"/>
  <c r="Q141" i="134"/>
  <c r="Q153" i="134" s="1"/>
  <c r="P141" i="134"/>
  <c r="P153" i="134" s="1"/>
  <c r="O141" i="134"/>
  <c r="O153" i="134" s="1"/>
  <c r="N141" i="134"/>
  <c r="N153" i="134" s="1"/>
  <c r="M141" i="134"/>
  <c r="J141" i="134"/>
  <c r="J153" i="134" s="1"/>
  <c r="I141" i="134"/>
  <c r="I153" i="134" s="1"/>
  <c r="H141" i="134"/>
  <c r="H153" i="134" s="1"/>
  <c r="G141" i="134"/>
  <c r="G153" i="134" s="1"/>
  <c r="K153" i="134" s="1"/>
  <c r="F141" i="134"/>
  <c r="F153" i="134" s="1"/>
  <c r="E141" i="134"/>
  <c r="D141" i="134"/>
  <c r="D153" i="134" s="1"/>
  <c r="S140" i="134"/>
  <c r="S152" i="134" s="1"/>
  <c r="R140" i="134"/>
  <c r="R142" i="134" s="1"/>
  <c r="Q140" i="134"/>
  <c r="Q152" i="134" s="1"/>
  <c r="P140" i="134"/>
  <c r="P142" i="134" s="1"/>
  <c r="O140" i="134"/>
  <c r="O152" i="134" s="1"/>
  <c r="N140" i="134"/>
  <c r="N142" i="134" s="1"/>
  <c r="M140" i="134"/>
  <c r="J140" i="134"/>
  <c r="J152" i="134" s="1"/>
  <c r="I140" i="134"/>
  <c r="I142" i="134" s="1"/>
  <c r="H140" i="134"/>
  <c r="H152" i="134" s="1"/>
  <c r="G140" i="134"/>
  <c r="F140" i="134"/>
  <c r="F152" i="134" s="1"/>
  <c r="E140" i="134"/>
  <c r="E142" i="134" s="1"/>
  <c r="D140" i="134"/>
  <c r="D152" i="134" s="1"/>
  <c r="T139" i="134"/>
  <c r="K139" i="134"/>
  <c r="W138" i="134"/>
  <c r="T138" i="134"/>
  <c r="AA115" i="134" s="1"/>
  <c r="Y115" i="134" s="1"/>
  <c r="K138" i="134"/>
  <c r="T137" i="134"/>
  <c r="AB118" i="134" s="1"/>
  <c r="Y118" i="134" s="1"/>
  <c r="K137" i="134"/>
  <c r="W136" i="134"/>
  <c r="T136" i="134"/>
  <c r="K136" i="134"/>
  <c r="V136" i="134" s="1"/>
  <c r="T135" i="134"/>
  <c r="AB114" i="134" s="1"/>
  <c r="K135" i="134"/>
  <c r="W134" i="134"/>
  <c r="T134" i="134"/>
  <c r="AA114" i="134" s="1"/>
  <c r="Y114" i="134" s="1"/>
  <c r="K134" i="134"/>
  <c r="T133" i="134"/>
  <c r="AB116" i="134" s="1"/>
  <c r="K133" i="134"/>
  <c r="W132" i="134"/>
  <c r="T132" i="134"/>
  <c r="K132" i="134"/>
  <c r="V132" i="134" s="1"/>
  <c r="T131" i="134"/>
  <c r="K131" i="134"/>
  <c r="W130" i="134"/>
  <c r="T130" i="134"/>
  <c r="U130" i="134" s="1"/>
  <c r="K130" i="134"/>
  <c r="V130" i="134" s="1"/>
  <c r="W131" i="134" s="1"/>
  <c r="T129" i="134"/>
  <c r="AB117" i="134" s="1"/>
  <c r="K129" i="134"/>
  <c r="W128" i="134"/>
  <c r="T128" i="134"/>
  <c r="K128" i="134"/>
  <c r="V128" i="134" s="1"/>
  <c r="T127" i="134"/>
  <c r="K127" i="134"/>
  <c r="W126" i="134"/>
  <c r="T126" i="134"/>
  <c r="U126" i="134" s="1"/>
  <c r="K126" i="134"/>
  <c r="V126" i="134" s="1"/>
  <c r="W127" i="134" s="1"/>
  <c r="T125" i="134"/>
  <c r="U124" i="134" s="1"/>
  <c r="W125" i="134" s="1"/>
  <c r="K125" i="134"/>
  <c r="W124" i="134"/>
  <c r="T124" i="134"/>
  <c r="K124" i="134"/>
  <c r="V124" i="134" s="1"/>
  <c r="T123" i="134"/>
  <c r="K123" i="134"/>
  <c r="W122" i="134"/>
  <c r="T122" i="134"/>
  <c r="U122" i="134" s="1"/>
  <c r="K122" i="134"/>
  <c r="V122" i="134" s="1"/>
  <c r="T121" i="134"/>
  <c r="AB119" i="134" s="1"/>
  <c r="Y119" i="134" s="1"/>
  <c r="K121" i="134"/>
  <c r="W120" i="134"/>
  <c r="T120" i="134"/>
  <c r="U120" i="134" s="1"/>
  <c r="K120" i="134"/>
  <c r="AA119" i="134"/>
  <c r="T119" i="134"/>
  <c r="K119" i="134"/>
  <c r="AA118" i="134"/>
  <c r="W118" i="134"/>
  <c r="T118" i="134"/>
  <c r="K118" i="134"/>
  <c r="V118" i="134" s="1"/>
  <c r="T117" i="134"/>
  <c r="AB108" i="134" s="1"/>
  <c r="K117" i="134"/>
  <c r="W116" i="134"/>
  <c r="T116" i="134"/>
  <c r="U116" i="134" s="1"/>
  <c r="K116" i="134"/>
  <c r="V116" i="134" s="1"/>
  <c r="AB115" i="134"/>
  <c r="T115" i="134"/>
  <c r="K115" i="134"/>
  <c r="W114" i="134"/>
  <c r="T114" i="134"/>
  <c r="U114" i="134" s="1"/>
  <c r="K114" i="134"/>
  <c r="V114" i="134" s="1"/>
  <c r="AB113" i="134"/>
  <c r="T113" i="134"/>
  <c r="K113" i="134"/>
  <c r="AA112" i="134"/>
  <c r="W112" i="134"/>
  <c r="T112" i="134"/>
  <c r="U112" i="134" s="1"/>
  <c r="K112" i="134"/>
  <c r="V112" i="134" s="1"/>
  <c r="AB111" i="134"/>
  <c r="T111" i="134"/>
  <c r="K111" i="134"/>
  <c r="AB110" i="134"/>
  <c r="W110" i="134"/>
  <c r="T110" i="134"/>
  <c r="AA110" i="134" s="1"/>
  <c r="Y110" i="134" s="1"/>
  <c r="K110" i="134"/>
  <c r="V110" i="134" s="1"/>
  <c r="AB109" i="134"/>
  <c r="AA109" i="134"/>
  <c r="Y109" i="134"/>
  <c r="T109" i="134"/>
  <c r="K109" i="134"/>
  <c r="W108" i="134"/>
  <c r="T108" i="134"/>
  <c r="U108" i="134" s="1"/>
  <c r="K108" i="134"/>
  <c r="V108" i="134" s="1"/>
  <c r="AB107" i="134"/>
  <c r="T107" i="134"/>
  <c r="AB99" i="134" s="1"/>
  <c r="K107" i="134"/>
  <c r="AB106" i="134"/>
  <c r="W106" i="134"/>
  <c r="T106" i="134"/>
  <c r="K106" i="134"/>
  <c r="V106" i="134" s="1"/>
  <c r="AB105" i="134"/>
  <c r="T105" i="134"/>
  <c r="K105" i="134"/>
  <c r="AB104" i="134"/>
  <c r="W104" i="134"/>
  <c r="T104" i="134"/>
  <c r="U104" i="134" s="1"/>
  <c r="K104" i="134"/>
  <c r="V104" i="134" s="1"/>
  <c r="T103" i="134"/>
  <c r="AB102" i="134" s="1"/>
  <c r="K103" i="134"/>
  <c r="W102" i="134"/>
  <c r="T102" i="134"/>
  <c r="AA102" i="134" s="1"/>
  <c r="K102" i="134"/>
  <c r="V102" i="134" s="1"/>
  <c r="T101" i="134"/>
  <c r="AB101" i="134" s="1"/>
  <c r="K101" i="134"/>
  <c r="AB100" i="134"/>
  <c r="W100" i="134"/>
  <c r="V100" i="134"/>
  <c r="T100" i="134"/>
  <c r="AA101" i="134" s="1"/>
  <c r="Y101" i="134" s="1"/>
  <c r="K100" i="134"/>
  <c r="T99" i="134"/>
  <c r="AB103" i="134" s="1"/>
  <c r="K99" i="134"/>
  <c r="T98" i="134"/>
  <c r="AA103" i="134" s="1"/>
  <c r="Y103" i="134" s="1"/>
  <c r="K98" i="134"/>
  <c r="S89" i="134"/>
  <c r="R89" i="134"/>
  <c r="Q89" i="134"/>
  <c r="P89" i="134"/>
  <c r="O89" i="134"/>
  <c r="N89" i="134"/>
  <c r="M89" i="134"/>
  <c r="J89" i="134"/>
  <c r="I89" i="134"/>
  <c r="H89" i="134"/>
  <c r="G89" i="134"/>
  <c r="F89" i="134"/>
  <c r="E89" i="134"/>
  <c r="D89" i="134"/>
  <c r="S88" i="134"/>
  <c r="S151" i="134" s="1"/>
  <c r="R88" i="134"/>
  <c r="R151" i="134" s="1"/>
  <c r="Q88" i="134"/>
  <c r="Q151" i="134" s="1"/>
  <c r="P88" i="134"/>
  <c r="P151" i="134" s="1"/>
  <c r="O88" i="134"/>
  <c r="O151" i="134" s="1"/>
  <c r="N88" i="134"/>
  <c r="N151" i="134" s="1"/>
  <c r="M88" i="134"/>
  <c r="M151" i="134" s="1"/>
  <c r="J88" i="134"/>
  <c r="J151" i="134" s="1"/>
  <c r="I88" i="134"/>
  <c r="I151" i="134" s="1"/>
  <c r="H88" i="134"/>
  <c r="H151" i="134" s="1"/>
  <c r="G88" i="134"/>
  <c r="G151" i="134" s="1"/>
  <c r="F88" i="134"/>
  <c r="F151" i="134" s="1"/>
  <c r="E88" i="134"/>
  <c r="E151" i="134" s="1"/>
  <c r="D88" i="134"/>
  <c r="D151" i="134" s="1"/>
  <c r="D155" i="134" s="1"/>
  <c r="S87" i="134"/>
  <c r="S150" i="134" s="1"/>
  <c r="R87" i="134"/>
  <c r="R150" i="134" s="1"/>
  <c r="Q87" i="134"/>
  <c r="Q150" i="134" s="1"/>
  <c r="P87" i="134"/>
  <c r="P150" i="134" s="1"/>
  <c r="O87" i="134"/>
  <c r="O150" i="134" s="1"/>
  <c r="N87" i="134"/>
  <c r="N150" i="134" s="1"/>
  <c r="M87" i="134"/>
  <c r="M150" i="134" s="1"/>
  <c r="J87" i="134"/>
  <c r="J150" i="134" s="1"/>
  <c r="I87" i="134"/>
  <c r="I150" i="134" s="1"/>
  <c r="H87" i="134"/>
  <c r="H150" i="134" s="1"/>
  <c r="G87" i="134"/>
  <c r="G150" i="134" s="1"/>
  <c r="F87" i="134"/>
  <c r="F150" i="134" s="1"/>
  <c r="E87" i="134"/>
  <c r="E150" i="134" s="1"/>
  <c r="D87" i="134"/>
  <c r="D150" i="134" s="1"/>
  <c r="T86" i="134"/>
  <c r="K86" i="134"/>
  <c r="T85" i="134"/>
  <c r="K85" i="134"/>
  <c r="T84" i="134"/>
  <c r="K84" i="134"/>
  <c r="T83" i="134"/>
  <c r="U83" i="134" s="1"/>
  <c r="K83" i="134"/>
  <c r="T82" i="134"/>
  <c r="K82" i="134"/>
  <c r="T81" i="134"/>
  <c r="U81" i="134" s="1"/>
  <c r="K81" i="134"/>
  <c r="T80" i="134"/>
  <c r="K80" i="134"/>
  <c r="T79" i="134"/>
  <c r="K79" i="134"/>
  <c r="T78" i="134"/>
  <c r="U77" i="134" s="1"/>
  <c r="K78" i="134"/>
  <c r="V77" i="134"/>
  <c r="K77" i="134"/>
  <c r="T75" i="134"/>
  <c r="K75" i="134"/>
  <c r="U74" i="134"/>
  <c r="T74" i="134"/>
  <c r="K74" i="134"/>
  <c r="T73" i="134"/>
  <c r="K73" i="134"/>
  <c r="T72" i="134"/>
  <c r="U73" i="134" s="1"/>
  <c r="K72" i="134"/>
  <c r="V73" i="134" s="1"/>
  <c r="T71" i="134"/>
  <c r="K71" i="134"/>
  <c r="T70" i="134"/>
  <c r="V70" i="134" s="1"/>
  <c r="K70" i="134"/>
  <c r="T68" i="134"/>
  <c r="K68" i="134"/>
  <c r="T67" i="134"/>
  <c r="V67" i="134" s="1"/>
  <c r="K67" i="134"/>
  <c r="T66" i="134"/>
  <c r="K66" i="134"/>
  <c r="T65" i="134"/>
  <c r="V65" i="134" s="1"/>
  <c r="K65" i="134"/>
  <c r="U65" i="134" s="1"/>
  <c r="T64" i="134"/>
  <c r="K64" i="134"/>
  <c r="T63" i="134"/>
  <c r="V63" i="134" s="1"/>
  <c r="K63" i="134"/>
  <c r="U63" i="134" s="1"/>
  <c r="T62" i="134"/>
  <c r="K62" i="134"/>
  <c r="T61" i="134"/>
  <c r="V61" i="134" s="1"/>
  <c r="K61" i="134"/>
  <c r="T60" i="134"/>
  <c r="K60" i="134"/>
  <c r="T59" i="134"/>
  <c r="V59" i="134" s="1"/>
  <c r="K59" i="134"/>
  <c r="U59" i="134" s="1"/>
  <c r="T57" i="134"/>
  <c r="K57" i="134"/>
  <c r="T56" i="134"/>
  <c r="K56" i="134"/>
  <c r="V56" i="134" s="1"/>
  <c r="V54" i="134"/>
  <c r="U54" i="134"/>
  <c r="T53" i="134"/>
  <c r="K53" i="134"/>
  <c r="T52" i="134"/>
  <c r="K52" i="134"/>
  <c r="T51" i="134"/>
  <c r="K51" i="134"/>
  <c r="T50" i="134"/>
  <c r="K50" i="134"/>
  <c r="V50" i="134" s="1"/>
  <c r="T47" i="134"/>
  <c r="K47" i="134"/>
  <c r="T46" i="134"/>
  <c r="K46" i="134"/>
  <c r="T45" i="134"/>
  <c r="K45" i="134"/>
  <c r="T44" i="134"/>
  <c r="K44" i="134"/>
  <c r="T43" i="134"/>
  <c r="K43" i="134"/>
  <c r="T42" i="134"/>
  <c r="K42" i="134"/>
  <c r="V42" i="134" s="1"/>
  <c r="T41" i="134"/>
  <c r="K41" i="134"/>
  <c r="T40" i="134"/>
  <c r="K40" i="134"/>
  <c r="T39" i="134"/>
  <c r="K39" i="134"/>
  <c r="T38" i="134"/>
  <c r="K38" i="134"/>
  <c r="V38" i="134" s="1"/>
  <c r="T36" i="134"/>
  <c r="K36" i="134"/>
  <c r="T35" i="134"/>
  <c r="K35" i="134"/>
  <c r="U35" i="134" s="1"/>
  <c r="T34" i="134"/>
  <c r="K34" i="134"/>
  <c r="T33" i="134"/>
  <c r="K33" i="134"/>
  <c r="T32" i="134"/>
  <c r="K32" i="134"/>
  <c r="T31" i="134"/>
  <c r="K31" i="134"/>
  <c r="T29" i="134"/>
  <c r="K29" i="134"/>
  <c r="T28" i="134"/>
  <c r="K28" i="134"/>
  <c r="V29" i="134" s="1"/>
  <c r="T27" i="134"/>
  <c r="K27" i="134"/>
  <c r="T26" i="134"/>
  <c r="K26" i="134"/>
  <c r="T25" i="134"/>
  <c r="K25" i="134"/>
  <c r="T24" i="134"/>
  <c r="K24" i="134"/>
  <c r="V24" i="134" s="1"/>
  <c r="T23" i="134"/>
  <c r="K23" i="134"/>
  <c r="T22" i="134"/>
  <c r="K22" i="134"/>
  <c r="T21" i="134"/>
  <c r="K21" i="134"/>
  <c r="T20" i="134"/>
  <c r="K20" i="134"/>
  <c r="T19" i="134"/>
  <c r="K19" i="134"/>
  <c r="T18" i="134"/>
  <c r="K18" i="134"/>
  <c r="T17" i="134"/>
  <c r="K17" i="134"/>
  <c r="T16" i="134"/>
  <c r="K16" i="134"/>
  <c r="V16" i="134" s="1"/>
  <c r="T15" i="134"/>
  <c r="K15" i="134"/>
  <c r="T14" i="134"/>
  <c r="K14" i="134"/>
  <c r="T13" i="134"/>
  <c r="K13" i="134"/>
  <c r="T12" i="134"/>
  <c r="K12" i="134"/>
  <c r="V12" i="134" s="1"/>
  <c r="T11" i="134"/>
  <c r="K11" i="134"/>
  <c r="T10" i="134"/>
  <c r="K10" i="134"/>
  <c r="T9" i="134"/>
  <c r="K9" i="134"/>
  <c r="T8" i="134"/>
  <c r="K8" i="134"/>
  <c r="T7" i="134"/>
  <c r="K7" i="134"/>
  <c r="T6" i="134"/>
  <c r="K6" i="134"/>
  <c r="T5" i="134"/>
  <c r="V4" i="134"/>
  <c r="U4" i="134"/>
  <c r="W105" i="134" l="1"/>
  <c r="W113" i="134"/>
  <c r="Y102" i="134"/>
  <c r="U61" i="134"/>
  <c r="U67" i="134"/>
  <c r="U79" i="134"/>
  <c r="U85" i="134"/>
  <c r="T151" i="134"/>
  <c r="AB98" i="134" s="1"/>
  <c r="AB120" i="134" s="1"/>
  <c r="V120" i="134"/>
  <c r="U128" i="134"/>
  <c r="W129" i="134" s="1"/>
  <c r="U132" i="134"/>
  <c r="W133" i="134" s="1"/>
  <c r="N165" i="134"/>
  <c r="U70" i="134"/>
  <c r="W117" i="134"/>
  <c r="V35" i="134"/>
  <c r="K152" i="134"/>
  <c r="U136" i="134"/>
  <c r="W137" i="134" s="1"/>
  <c r="W115" i="134"/>
  <c r="T88" i="134"/>
  <c r="W109" i="134"/>
  <c r="U98" i="134"/>
  <c r="V8" i="134"/>
  <c r="U46" i="134"/>
  <c r="U106" i="134"/>
  <c r="W107" i="134" s="1"/>
  <c r="U118" i="134"/>
  <c r="W119" i="134" s="1"/>
  <c r="G142" i="134"/>
  <c r="I152" i="134"/>
  <c r="U134" i="134"/>
  <c r="U138" i="134"/>
  <c r="K144" i="134"/>
  <c r="AB112" i="134"/>
  <c r="Y112" i="134" s="1"/>
  <c r="V20" i="134"/>
  <c r="V33" i="134"/>
  <c r="V46" i="134"/>
  <c r="V74" i="134"/>
  <c r="AA111" i="134"/>
  <c r="Y111" i="134" s="1"/>
  <c r="AA113" i="134"/>
  <c r="Y113" i="134" s="1"/>
  <c r="W152" i="134"/>
  <c r="E152" i="134"/>
  <c r="U8" i="134"/>
  <c r="U12" i="134"/>
  <c r="U16" i="134"/>
  <c r="U20" i="134"/>
  <c r="U24" i="134"/>
  <c r="U29" i="134"/>
  <c r="U33" i="134"/>
  <c r="U38" i="134"/>
  <c r="U42" i="134"/>
  <c r="U50" i="134"/>
  <c r="U56" i="134"/>
  <c r="K88" i="134"/>
  <c r="K87" i="134"/>
  <c r="V6" i="134"/>
  <c r="U6" i="134"/>
  <c r="V10" i="134"/>
  <c r="U10" i="134"/>
  <c r="V14" i="134"/>
  <c r="U14" i="134"/>
  <c r="V18" i="134"/>
  <c r="U18" i="134"/>
  <c r="V22" i="134"/>
  <c r="U22" i="134"/>
  <c r="V26" i="134"/>
  <c r="U26" i="134"/>
  <c r="V31" i="134"/>
  <c r="U31" i="134"/>
  <c r="V40" i="134"/>
  <c r="U40" i="134"/>
  <c r="V52" i="134"/>
  <c r="U52" i="134"/>
  <c r="T150" i="134"/>
  <c r="AA98" i="134" s="1"/>
  <c r="N164" i="134"/>
  <c r="P164" i="134"/>
  <c r="N162" i="134"/>
  <c r="P162" i="134"/>
  <c r="V79" i="134"/>
  <c r="V81" i="134"/>
  <c r="V83" i="134"/>
  <c r="V85" i="134"/>
  <c r="T87" i="134"/>
  <c r="T89" i="134"/>
  <c r="AB123" i="134"/>
  <c r="W121" i="134"/>
  <c r="W123" i="134"/>
  <c r="V134" i="134"/>
  <c r="A134" i="134"/>
  <c r="W135" i="134"/>
  <c r="K140" i="134"/>
  <c r="V138" i="134"/>
  <c r="W139" i="134"/>
  <c r="K141" i="134"/>
  <c r="M153" i="134"/>
  <c r="T153" i="134" s="1"/>
  <c r="T141" i="134"/>
  <c r="F142" i="134"/>
  <c r="J142" i="134"/>
  <c r="O142" i="134"/>
  <c r="S142" i="134"/>
  <c r="D154" i="134"/>
  <c r="D156" i="134" s="1"/>
  <c r="J167" i="134" s="1"/>
  <c r="X87" i="134"/>
  <c r="X88" i="134"/>
  <c r="V98" i="134"/>
  <c r="AA99" i="134"/>
  <c r="U100" i="134"/>
  <c r="W101" i="134" s="1"/>
  <c r="AA100" i="134"/>
  <c r="Y100" i="134" s="1"/>
  <c r="U102" i="134"/>
  <c r="W103" i="134" s="1"/>
  <c r="AA104" i="134"/>
  <c r="Y104" i="134" s="1"/>
  <c r="AA105" i="134"/>
  <c r="Y105" i="134" s="1"/>
  <c r="AA106" i="134"/>
  <c r="Y106" i="134" s="1"/>
  <c r="AA107" i="134"/>
  <c r="Y107" i="134" s="1"/>
  <c r="AA108" i="134"/>
  <c r="Y108" i="134" s="1"/>
  <c r="U110" i="134"/>
  <c r="W111" i="134" s="1"/>
  <c r="AA116" i="134"/>
  <c r="Y116" i="134" s="1"/>
  <c r="AA117" i="134"/>
  <c r="Y117" i="134" s="1"/>
  <c r="M152" i="134"/>
  <c r="T152" i="134" s="1"/>
  <c r="T140" i="134"/>
  <c r="D142" i="134"/>
  <c r="H142" i="134"/>
  <c r="M142" i="134"/>
  <c r="Q142" i="134"/>
  <c r="K150" i="134"/>
  <c r="K151" i="134"/>
  <c r="L163" i="134"/>
  <c r="N168" i="134"/>
  <c r="V158" i="134"/>
  <c r="AK9" i="114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D15" i="9"/>
  <c r="K142" i="134" l="1"/>
  <c r="W94" i="134"/>
  <c r="W99" i="134"/>
  <c r="N167" i="134"/>
  <c r="P167" i="134"/>
  <c r="J169" i="134"/>
  <c r="AA123" i="134"/>
  <c r="Y99" i="134"/>
  <c r="T142" i="134"/>
  <c r="V140" i="134"/>
  <c r="U140" i="134"/>
  <c r="U87" i="134"/>
  <c r="V87" i="134"/>
  <c r="AA120" i="134"/>
  <c r="Y98" i="134"/>
  <c r="T38" i="133"/>
  <c r="C22" i="133"/>
  <c r="D22" i="133" s="1"/>
  <c r="H22" i="133"/>
  <c r="D23" i="133"/>
  <c r="E23" i="133" s="1"/>
  <c r="H23" i="133"/>
  <c r="D24" i="133"/>
  <c r="E24" i="133" s="1"/>
  <c r="H24" i="133"/>
  <c r="D25" i="133"/>
  <c r="E25" i="133" s="1"/>
  <c r="H25" i="133"/>
  <c r="D26" i="133"/>
  <c r="E26" i="133" s="1"/>
  <c r="H26" i="133"/>
  <c r="D27" i="133"/>
  <c r="E27" i="133" s="1"/>
  <c r="H27" i="133"/>
  <c r="D28" i="133"/>
  <c r="E28" i="133" s="1"/>
  <c r="H28" i="133"/>
  <c r="D29" i="133"/>
  <c r="E29" i="133" s="1"/>
  <c r="H29" i="133"/>
  <c r="D30" i="133"/>
  <c r="E30" i="133" s="1"/>
  <c r="H30" i="133"/>
  <c r="D31" i="133"/>
  <c r="E31" i="133" s="1"/>
  <c r="H31" i="133"/>
  <c r="D32" i="133"/>
  <c r="E32" i="133" s="1"/>
  <c r="H32" i="133"/>
  <c r="D33" i="133"/>
  <c r="E33" i="133" s="1"/>
  <c r="H33" i="133"/>
  <c r="D34" i="133"/>
  <c r="E34" i="133" s="1"/>
  <c r="H34" i="133"/>
  <c r="D35" i="133"/>
  <c r="E35" i="133" s="1"/>
  <c r="H35" i="133"/>
  <c r="D36" i="133"/>
  <c r="E36" i="133" s="1"/>
  <c r="H36" i="133"/>
  <c r="D37" i="133"/>
  <c r="E37" i="133" s="1"/>
  <c r="H37" i="133"/>
  <c r="D38" i="133"/>
  <c r="E38" i="133" s="1"/>
  <c r="H38" i="133"/>
  <c r="D39" i="133"/>
  <c r="E39" i="133" s="1"/>
  <c r="H39" i="133"/>
  <c r="D40" i="133"/>
  <c r="E40" i="133" s="1"/>
  <c r="H40" i="133"/>
  <c r="Q40" i="133"/>
  <c r="D41" i="133"/>
  <c r="E41" i="133" s="1"/>
  <c r="H41" i="133"/>
  <c r="D42" i="133"/>
  <c r="E42" i="133" s="1"/>
  <c r="B43" i="133"/>
  <c r="Y120" i="134" l="1"/>
  <c r="AB125" i="134"/>
  <c r="Z120" i="134"/>
  <c r="P169" i="134"/>
  <c r="N169" i="134"/>
  <c r="H42" i="133"/>
  <c r="C43" i="133"/>
  <c r="D43" i="133" s="1"/>
  <c r="E43" i="133" s="1"/>
  <c r="G33" i="132" l="1"/>
  <c r="G32" i="132"/>
  <c r="G31" i="132"/>
  <c r="G30" i="132"/>
  <c r="G29" i="132"/>
  <c r="G28" i="132"/>
  <c r="G27" i="132"/>
  <c r="G26" i="132"/>
  <c r="G25" i="132"/>
  <c r="G24" i="132"/>
  <c r="G23" i="132"/>
  <c r="D30" i="131"/>
  <c r="C30" i="131"/>
  <c r="B30" i="131"/>
  <c r="F29" i="131"/>
  <c r="H29" i="131" s="1"/>
  <c r="F28" i="131"/>
  <c r="H28" i="131" s="1"/>
  <c r="F27" i="131"/>
  <c r="H27" i="131" s="1"/>
  <c r="F26" i="131"/>
  <c r="H26" i="131" s="1"/>
  <c r="F25" i="131"/>
  <c r="G25" i="131" s="1"/>
  <c r="F24" i="131"/>
  <c r="H24" i="131" s="1"/>
  <c r="F23" i="131"/>
  <c r="G23" i="131" s="1"/>
  <c r="G22" i="131"/>
  <c r="F22" i="131"/>
  <c r="H22" i="131" s="1"/>
  <c r="F21" i="131"/>
  <c r="G21" i="131" s="1"/>
  <c r="F20" i="131"/>
  <c r="F19" i="131"/>
  <c r="G19" i="131" s="1"/>
  <c r="F18" i="131"/>
  <c r="H18" i="131" s="1"/>
  <c r="F17" i="131"/>
  <c r="G17" i="131" s="1"/>
  <c r="F16" i="131"/>
  <c r="H16" i="131" s="1"/>
  <c r="F15" i="131"/>
  <c r="G15" i="131" s="1"/>
  <c r="F14" i="131"/>
  <c r="H14" i="131" s="1"/>
  <c r="F13" i="131"/>
  <c r="G13" i="131" s="1"/>
  <c r="F12" i="131"/>
  <c r="H12" i="131" s="1"/>
  <c r="F11" i="131"/>
  <c r="G11" i="131" s="1"/>
  <c r="F10" i="131"/>
  <c r="H10" i="131" s="1"/>
  <c r="F9" i="131"/>
  <c r="G9" i="131" s="1"/>
  <c r="F8" i="131"/>
  <c r="H8" i="131" s="1"/>
  <c r="F7" i="131"/>
  <c r="G7" i="131" s="1"/>
  <c r="F6" i="131"/>
  <c r="H6" i="131" s="1"/>
  <c r="F5" i="131"/>
  <c r="G6" i="131" l="1"/>
  <c r="G24" i="131"/>
  <c r="G8" i="131"/>
  <c r="G26" i="131"/>
  <c r="G10" i="131"/>
  <c r="G18" i="131"/>
  <c r="G12" i="131"/>
  <c r="G14" i="131"/>
  <c r="G16" i="131"/>
  <c r="F30" i="131"/>
  <c r="H30" i="131" s="1"/>
  <c r="G30" i="131"/>
  <c r="H5" i="131"/>
  <c r="H7" i="131"/>
  <c r="H9" i="131"/>
  <c r="H11" i="131"/>
  <c r="H13" i="131"/>
  <c r="H15" i="131"/>
  <c r="H17" i="131"/>
  <c r="H19" i="131"/>
  <c r="H21" i="131"/>
  <c r="H23" i="131"/>
  <c r="H25" i="131"/>
  <c r="G5" i="131"/>
  <c r="M32" i="27" l="1"/>
  <c r="M33" i="27"/>
  <c r="N34" i="27"/>
  <c r="O23" i="27"/>
  <c r="M23" i="27" s="1"/>
  <c r="O24" i="27"/>
  <c r="M24" i="27" s="1"/>
  <c r="O25" i="27"/>
  <c r="M25" i="27" s="1"/>
  <c r="O26" i="27"/>
  <c r="M26" i="27" s="1"/>
  <c r="O27" i="27"/>
  <c r="M27" i="27" s="1"/>
  <c r="O28" i="27"/>
  <c r="M28" i="27" s="1"/>
  <c r="O29" i="27"/>
  <c r="M29" i="27" s="1"/>
  <c r="O30" i="27"/>
  <c r="M30" i="27" s="1"/>
  <c r="O31" i="27"/>
  <c r="M31" i="27" s="1"/>
  <c r="O32" i="27"/>
  <c r="O33" i="27"/>
  <c r="O22" i="27"/>
  <c r="M22" i="27" s="1"/>
  <c r="O34" i="27" l="1"/>
  <c r="M34" i="27" s="1"/>
  <c r="C67" i="130"/>
  <c r="B67" i="130"/>
  <c r="D66" i="130"/>
  <c r="D65" i="130"/>
  <c r="D64" i="130"/>
  <c r="D63" i="130"/>
  <c r="D62" i="130"/>
  <c r="D61" i="130"/>
  <c r="D60" i="130"/>
  <c r="D59" i="130"/>
  <c r="D58" i="130"/>
  <c r="D57" i="130"/>
  <c r="D56" i="130"/>
  <c r="D55" i="130"/>
  <c r="D54" i="130"/>
  <c r="D53" i="130"/>
  <c r="D52" i="130"/>
  <c r="D51" i="130"/>
  <c r="D50" i="130"/>
  <c r="D49" i="130"/>
  <c r="D48" i="130"/>
  <c r="D47" i="130"/>
  <c r="D67" i="130" s="1"/>
  <c r="D39" i="130"/>
  <c r="C39" i="130"/>
  <c r="B39" i="130"/>
  <c r="E38" i="130"/>
  <c r="E37" i="130"/>
  <c r="E36" i="130"/>
  <c r="E35" i="130"/>
  <c r="E34" i="130"/>
  <c r="E33" i="130"/>
  <c r="E32" i="130"/>
  <c r="E31" i="130"/>
  <c r="E30" i="130"/>
  <c r="E29" i="130"/>
  <c r="E28" i="130"/>
  <c r="E27" i="130"/>
  <c r="E26" i="130"/>
  <c r="E25" i="130"/>
  <c r="E24" i="130"/>
  <c r="E23" i="130"/>
  <c r="E22" i="130"/>
  <c r="E21" i="130"/>
  <c r="E20" i="130"/>
  <c r="E19" i="130"/>
  <c r="E18" i="130"/>
  <c r="F12" i="130"/>
  <c r="F11" i="130"/>
  <c r="F10" i="130"/>
  <c r="F9" i="130"/>
  <c r="F8" i="130"/>
  <c r="F6" i="130"/>
  <c r="F5" i="130"/>
  <c r="F4" i="130"/>
  <c r="F3" i="130"/>
  <c r="E39" i="130" l="1"/>
  <c r="B36" i="27"/>
  <c r="E30" i="128" l="1"/>
  <c r="D30" i="128"/>
  <c r="C30" i="128"/>
  <c r="B30" i="128"/>
  <c r="F29" i="128"/>
  <c r="F28" i="128"/>
  <c r="F27" i="128"/>
  <c r="F26" i="128"/>
  <c r="F25" i="128"/>
  <c r="F24" i="128"/>
  <c r="F23" i="128"/>
  <c r="F22" i="128"/>
  <c r="F21" i="128"/>
  <c r="F20" i="128"/>
  <c r="F19" i="128"/>
  <c r="F18" i="128"/>
  <c r="F17" i="128"/>
  <c r="F16" i="128"/>
  <c r="F15" i="128"/>
  <c r="F14" i="128"/>
  <c r="F13" i="128"/>
  <c r="F12" i="128"/>
  <c r="F11" i="128"/>
  <c r="F10" i="128"/>
  <c r="F9" i="128"/>
  <c r="F8" i="128"/>
  <c r="F7" i="128"/>
  <c r="F6" i="128"/>
  <c r="F5" i="128"/>
  <c r="F4" i="128"/>
  <c r="G15" i="126"/>
  <c r="C15" i="126"/>
  <c r="B15" i="126"/>
  <c r="R14" i="126"/>
  <c r="R13" i="126"/>
  <c r="R12" i="126"/>
  <c r="R11" i="126"/>
  <c r="R10" i="126"/>
  <c r="R9" i="126"/>
  <c r="R8" i="126"/>
  <c r="R7" i="126"/>
  <c r="R6" i="126"/>
  <c r="R5" i="126"/>
  <c r="R4" i="126"/>
  <c r="R3" i="126"/>
  <c r="C33" i="125"/>
  <c r="D33" i="125" s="1"/>
  <c r="E33" i="125" s="1"/>
  <c r="D32" i="125"/>
  <c r="E32" i="125" s="1"/>
  <c r="D31" i="125"/>
  <c r="E31" i="125" s="1"/>
  <c r="D30" i="125"/>
  <c r="D29" i="125"/>
  <c r="E29" i="125" s="1"/>
  <c r="D28" i="125"/>
  <c r="E28" i="125" s="1"/>
  <c r="E27" i="125"/>
  <c r="D27" i="125"/>
  <c r="D26" i="125"/>
  <c r="E26" i="125" s="1"/>
  <c r="D25" i="125"/>
  <c r="B16" i="124"/>
  <c r="U16" i="123"/>
  <c r="T16" i="123"/>
  <c r="R16" i="123"/>
  <c r="Q16" i="123"/>
  <c r="P16" i="123"/>
  <c r="O16" i="123"/>
  <c r="N16" i="123"/>
  <c r="M16" i="123"/>
  <c r="L16" i="123"/>
  <c r="K16" i="123"/>
  <c r="J16" i="123"/>
  <c r="I16" i="123"/>
  <c r="H16" i="123"/>
  <c r="G16" i="123"/>
  <c r="F16" i="123"/>
  <c r="E16" i="123"/>
  <c r="D16" i="123"/>
  <c r="B16" i="123"/>
  <c r="U15" i="123"/>
  <c r="T15" i="123"/>
  <c r="S15" i="123"/>
  <c r="R15" i="123"/>
  <c r="Q15" i="123"/>
  <c r="P15" i="123"/>
  <c r="O15" i="123"/>
  <c r="N15" i="123"/>
  <c r="M15" i="123"/>
  <c r="L15" i="123"/>
  <c r="K15" i="123"/>
  <c r="J15" i="123"/>
  <c r="I15" i="123"/>
  <c r="H15" i="123"/>
  <c r="G15" i="123"/>
  <c r="F15" i="123"/>
  <c r="E15" i="123"/>
  <c r="D15" i="123"/>
  <c r="C15" i="123"/>
  <c r="B15" i="123"/>
  <c r="U14" i="123"/>
  <c r="T14" i="123"/>
  <c r="S14" i="123"/>
  <c r="R14" i="123"/>
  <c r="Q14" i="123"/>
  <c r="P14" i="123"/>
  <c r="O14" i="123"/>
  <c r="N14" i="123"/>
  <c r="M14" i="123"/>
  <c r="L14" i="123"/>
  <c r="K14" i="123"/>
  <c r="J14" i="123"/>
  <c r="I14" i="123"/>
  <c r="H14" i="123"/>
  <c r="G14" i="123"/>
  <c r="F14" i="123"/>
  <c r="E14" i="123"/>
  <c r="D14" i="123"/>
  <c r="C14" i="123"/>
  <c r="B14" i="123"/>
  <c r="U13" i="123"/>
  <c r="T13" i="123"/>
  <c r="S13" i="123"/>
  <c r="R13" i="123"/>
  <c r="Q13" i="123"/>
  <c r="P13" i="123"/>
  <c r="O13" i="123"/>
  <c r="N13" i="123"/>
  <c r="M13" i="123"/>
  <c r="L13" i="123"/>
  <c r="K13" i="123"/>
  <c r="J13" i="123"/>
  <c r="I13" i="123"/>
  <c r="H13" i="123"/>
  <c r="G13" i="123"/>
  <c r="F13" i="123"/>
  <c r="E13" i="123"/>
  <c r="D13" i="123"/>
  <c r="C13" i="123"/>
  <c r="B13" i="123"/>
  <c r="U12" i="123"/>
  <c r="T12" i="123"/>
  <c r="S12" i="123"/>
  <c r="R12" i="123"/>
  <c r="Q12" i="123"/>
  <c r="P12" i="123"/>
  <c r="O12" i="123"/>
  <c r="N12" i="123"/>
  <c r="M12" i="123"/>
  <c r="L12" i="123"/>
  <c r="K12" i="123"/>
  <c r="J12" i="123"/>
  <c r="I12" i="123"/>
  <c r="H12" i="123"/>
  <c r="G12" i="123"/>
  <c r="F12" i="123"/>
  <c r="E12" i="123"/>
  <c r="D12" i="123"/>
  <c r="C12" i="123"/>
  <c r="B12" i="123"/>
  <c r="U11" i="123"/>
  <c r="T11" i="123"/>
  <c r="S11" i="123"/>
  <c r="R11" i="123"/>
  <c r="Q11" i="123"/>
  <c r="P11" i="123"/>
  <c r="O11" i="123"/>
  <c r="N11" i="123"/>
  <c r="M11" i="123"/>
  <c r="L11" i="123"/>
  <c r="K11" i="123"/>
  <c r="J11" i="123"/>
  <c r="I11" i="123"/>
  <c r="H11" i="123"/>
  <c r="G11" i="123"/>
  <c r="F11" i="123"/>
  <c r="E11" i="123"/>
  <c r="D11" i="123"/>
  <c r="C11" i="123"/>
  <c r="B11" i="123"/>
  <c r="U10" i="123"/>
  <c r="T10" i="123"/>
  <c r="S10" i="123"/>
  <c r="R10" i="123"/>
  <c r="Q10" i="123"/>
  <c r="P10" i="123"/>
  <c r="O10" i="123"/>
  <c r="N10" i="123"/>
  <c r="M10" i="123"/>
  <c r="L10" i="123"/>
  <c r="K10" i="123"/>
  <c r="J10" i="123"/>
  <c r="I10" i="123"/>
  <c r="H10" i="123"/>
  <c r="G10" i="123"/>
  <c r="F10" i="123"/>
  <c r="E10" i="123"/>
  <c r="D10" i="123"/>
  <c r="C10" i="123"/>
  <c r="B10" i="123"/>
  <c r="U9" i="123"/>
  <c r="T9" i="123"/>
  <c r="S9" i="123"/>
  <c r="R9" i="123"/>
  <c r="Q9" i="123"/>
  <c r="P9" i="123"/>
  <c r="O9" i="123"/>
  <c r="N9" i="123"/>
  <c r="M9" i="123"/>
  <c r="L9" i="123"/>
  <c r="K9" i="123"/>
  <c r="J9" i="123"/>
  <c r="I9" i="123"/>
  <c r="H9" i="123"/>
  <c r="G9" i="123"/>
  <c r="F9" i="123"/>
  <c r="E9" i="123"/>
  <c r="D9" i="123"/>
  <c r="C9" i="123"/>
  <c r="B9" i="123"/>
  <c r="U8" i="123"/>
  <c r="T8" i="123"/>
  <c r="S8" i="123"/>
  <c r="R8" i="123"/>
  <c r="Q8" i="123"/>
  <c r="P8" i="123"/>
  <c r="O8" i="123"/>
  <c r="N8" i="123"/>
  <c r="M8" i="123"/>
  <c r="L8" i="123"/>
  <c r="K8" i="123"/>
  <c r="J8" i="123"/>
  <c r="I8" i="123"/>
  <c r="H8" i="123"/>
  <c r="G8" i="123"/>
  <c r="F8" i="123"/>
  <c r="E8" i="123"/>
  <c r="D8" i="123"/>
  <c r="C8" i="123"/>
  <c r="B8" i="123"/>
  <c r="U7" i="123"/>
  <c r="T7" i="123"/>
  <c r="S7" i="123"/>
  <c r="R7" i="123"/>
  <c r="Q7" i="123"/>
  <c r="P7" i="123"/>
  <c r="O7" i="123"/>
  <c r="N7" i="123"/>
  <c r="M7" i="123"/>
  <c r="L7" i="123"/>
  <c r="K7" i="123"/>
  <c r="J7" i="123"/>
  <c r="I7" i="123"/>
  <c r="H7" i="123"/>
  <c r="G7" i="123"/>
  <c r="F7" i="123"/>
  <c r="E7" i="123"/>
  <c r="D7" i="123"/>
  <c r="C7" i="123"/>
  <c r="B7" i="123"/>
  <c r="U6" i="123"/>
  <c r="T6" i="123"/>
  <c r="S6" i="123"/>
  <c r="R6" i="123"/>
  <c r="Q6" i="123"/>
  <c r="P6" i="123"/>
  <c r="O6" i="123"/>
  <c r="N6" i="123"/>
  <c r="M6" i="123"/>
  <c r="L6" i="123"/>
  <c r="K6" i="123"/>
  <c r="J6" i="123"/>
  <c r="I6" i="123"/>
  <c r="H6" i="123"/>
  <c r="G6" i="123"/>
  <c r="F6" i="123"/>
  <c r="E6" i="123"/>
  <c r="D6" i="123"/>
  <c r="C6" i="123"/>
  <c r="B6" i="123"/>
  <c r="U5" i="123"/>
  <c r="T5" i="123"/>
  <c r="S5" i="123"/>
  <c r="R5" i="123"/>
  <c r="Q5" i="123"/>
  <c r="P5" i="123"/>
  <c r="O5" i="123"/>
  <c r="N5" i="123"/>
  <c r="N17" i="123" s="1"/>
  <c r="M5" i="123"/>
  <c r="L5" i="123"/>
  <c r="L17" i="123" s="1"/>
  <c r="K5" i="123"/>
  <c r="J5" i="123"/>
  <c r="I5" i="123"/>
  <c r="H5" i="123"/>
  <c r="G5" i="123"/>
  <c r="F5" i="123"/>
  <c r="E5" i="123"/>
  <c r="D5" i="123"/>
  <c r="C5" i="123"/>
  <c r="B5" i="123"/>
  <c r="B17" i="123" s="1"/>
  <c r="D51" i="122"/>
  <c r="E39" i="122"/>
  <c r="D48" i="122" s="1"/>
  <c r="D39" i="122"/>
  <c r="D47" i="122" s="1"/>
  <c r="F38" i="122"/>
  <c r="F37" i="122"/>
  <c r="C36" i="122"/>
  <c r="F36" i="122" s="1"/>
  <c r="D50" i="122" s="1"/>
  <c r="F35" i="122"/>
  <c r="F34" i="122"/>
  <c r="F33" i="122"/>
  <c r="C32" i="122"/>
  <c r="F32" i="122" s="1"/>
  <c r="F31" i="122"/>
  <c r="C30" i="122"/>
  <c r="F30" i="122" s="1"/>
  <c r="C29" i="122"/>
  <c r="F29" i="122" s="1"/>
  <c r="C28" i="122"/>
  <c r="F28" i="122" s="1"/>
  <c r="C27" i="122"/>
  <c r="F27" i="122" s="1"/>
  <c r="C26" i="122"/>
  <c r="F26" i="122" s="1"/>
  <c r="C25" i="122"/>
  <c r="F25" i="122" s="1"/>
  <c r="C24" i="122"/>
  <c r="F24" i="122" s="1"/>
  <c r="F23" i="122"/>
  <c r="C22" i="122"/>
  <c r="F22" i="122" s="1"/>
  <c r="F21" i="122"/>
  <c r="F20" i="122"/>
  <c r="F19" i="122"/>
  <c r="F18" i="122"/>
  <c r="F17" i="122"/>
  <c r="C16" i="122"/>
  <c r="F16" i="122" s="1"/>
  <c r="F15" i="122"/>
  <c r="F14" i="122"/>
  <c r="C13" i="122"/>
  <c r="F13" i="122" s="1"/>
  <c r="C12" i="122"/>
  <c r="F12" i="122" s="1"/>
  <c r="C11" i="122"/>
  <c r="F11" i="122" s="1"/>
  <c r="C10" i="122"/>
  <c r="F10" i="122" s="1"/>
  <c r="C9" i="122"/>
  <c r="F9" i="122" s="1"/>
  <c r="C8" i="122"/>
  <c r="F8" i="122" s="1"/>
  <c r="C7" i="122"/>
  <c r="F7" i="122" s="1"/>
  <c r="F6" i="122"/>
  <c r="F5" i="122"/>
  <c r="C4" i="122"/>
  <c r="H30" i="121"/>
  <c r="G30" i="121"/>
  <c r="E30" i="121"/>
  <c r="D30" i="121"/>
  <c r="C30" i="121"/>
  <c r="B30" i="121"/>
  <c r="F29" i="121"/>
  <c r="I29" i="121" s="1"/>
  <c r="F28" i="121"/>
  <c r="I28" i="121" s="1"/>
  <c r="F27" i="121"/>
  <c r="I27" i="121" s="1"/>
  <c r="I26" i="121"/>
  <c r="F26" i="121"/>
  <c r="F25" i="121"/>
  <c r="I25" i="121" s="1"/>
  <c r="F24" i="121"/>
  <c r="I24" i="121" s="1"/>
  <c r="F23" i="121"/>
  <c r="I23" i="121" s="1"/>
  <c r="F22" i="121"/>
  <c r="I22" i="121" s="1"/>
  <c r="F21" i="121"/>
  <c r="I21" i="121" s="1"/>
  <c r="I20" i="121"/>
  <c r="F20" i="121"/>
  <c r="F19" i="121"/>
  <c r="I19" i="121" s="1"/>
  <c r="F18" i="121"/>
  <c r="I18" i="121" s="1"/>
  <c r="F17" i="121"/>
  <c r="I17" i="121" s="1"/>
  <c r="F16" i="121"/>
  <c r="I16" i="121" s="1"/>
  <c r="F15" i="121"/>
  <c r="I15" i="121" s="1"/>
  <c r="I14" i="121"/>
  <c r="F14" i="121"/>
  <c r="F13" i="121"/>
  <c r="I13" i="121" s="1"/>
  <c r="F12" i="121"/>
  <c r="I12" i="121" s="1"/>
  <c r="F11" i="121"/>
  <c r="I11" i="121" s="1"/>
  <c r="F10" i="121"/>
  <c r="I10" i="121" s="1"/>
  <c r="F9" i="121"/>
  <c r="I9" i="121" s="1"/>
  <c r="I8" i="121"/>
  <c r="F8" i="121"/>
  <c r="F7" i="121"/>
  <c r="I7" i="121" s="1"/>
  <c r="F6" i="121"/>
  <c r="I6" i="121" s="1"/>
  <c r="F5" i="121"/>
  <c r="I5" i="121" s="1"/>
  <c r="F4" i="121"/>
  <c r="V8" i="123" l="1"/>
  <c r="Y8" i="123" s="1"/>
  <c r="D17" i="123"/>
  <c r="P17" i="123"/>
  <c r="F30" i="121"/>
  <c r="V14" i="123"/>
  <c r="Y14" i="123" s="1"/>
  <c r="F17" i="123"/>
  <c r="R17" i="123"/>
  <c r="V7" i="123"/>
  <c r="Y7" i="123" s="1"/>
  <c r="V10" i="123"/>
  <c r="Y10" i="123" s="1"/>
  <c r="V13" i="123"/>
  <c r="Y13" i="123" s="1"/>
  <c r="V16" i="123"/>
  <c r="Y16" i="123" s="1"/>
  <c r="I4" i="121"/>
  <c r="I30" i="121" s="1"/>
  <c r="S17" i="123"/>
  <c r="R15" i="126"/>
  <c r="H17" i="123"/>
  <c r="T17" i="123"/>
  <c r="V11" i="123"/>
  <c r="Y11" i="123" s="1"/>
  <c r="C17" i="123"/>
  <c r="U17" i="123"/>
  <c r="C39" i="122"/>
  <c r="D46" i="122" s="1"/>
  <c r="D52" i="122" s="1"/>
  <c r="J17" i="123"/>
  <c r="V6" i="123"/>
  <c r="Y6" i="123" s="1"/>
  <c r="V9" i="123"/>
  <c r="Y9" i="123" s="1"/>
  <c r="V12" i="123"/>
  <c r="Y12" i="123" s="1"/>
  <c r="V15" i="123"/>
  <c r="Y15" i="123" s="1"/>
  <c r="F4" i="122"/>
  <c r="F39" i="122" s="1"/>
  <c r="F30" i="128"/>
  <c r="E17" i="123"/>
  <c r="G17" i="123"/>
  <c r="I17" i="123"/>
  <c r="K17" i="123"/>
  <c r="M17" i="123"/>
  <c r="O17" i="123"/>
  <c r="Q17" i="123"/>
  <c r="V5" i="123"/>
  <c r="V17" i="123" l="1"/>
  <c r="Y17" i="123" s="1"/>
  <c r="Y5" i="123"/>
  <c r="D10" i="110" l="1"/>
  <c r="C10" i="110"/>
  <c r="P3" i="8" l="1"/>
  <c r="P6" i="8"/>
  <c r="P5" i="8"/>
  <c r="P4" i="8"/>
  <c r="O9" i="8"/>
  <c r="N9" i="8"/>
  <c r="M9" i="8"/>
  <c r="L9" i="8"/>
  <c r="K9" i="8"/>
  <c r="J9" i="8"/>
  <c r="I9" i="8"/>
  <c r="H9" i="8"/>
  <c r="G9" i="8"/>
  <c r="F9" i="8"/>
  <c r="E9" i="8"/>
  <c r="D9" i="8"/>
  <c r="P8" i="8"/>
  <c r="P7" i="8"/>
  <c r="P9" i="8" l="1"/>
  <c r="AA6" i="9"/>
  <c r="AA5" i="9"/>
  <c r="H17" i="120" l="1"/>
  <c r="H16" i="120"/>
  <c r="H15" i="120"/>
  <c r="H14" i="120"/>
  <c r="H13" i="120"/>
  <c r="H12" i="120"/>
  <c r="H11" i="120"/>
  <c r="H10" i="120"/>
  <c r="H9" i="120"/>
  <c r="H8" i="120"/>
  <c r="H7" i="120"/>
  <c r="H6" i="120"/>
  <c r="H18" i="120" s="1"/>
  <c r="Q25" i="119"/>
  <c r="O25" i="119"/>
  <c r="N25" i="119"/>
  <c r="M25" i="119"/>
  <c r="L25" i="119"/>
  <c r="K25" i="119"/>
  <c r="J25" i="119"/>
  <c r="I25" i="119"/>
  <c r="H25" i="119"/>
  <c r="G25" i="119"/>
  <c r="F25" i="119"/>
  <c r="E25" i="119"/>
  <c r="D25" i="119"/>
  <c r="C25" i="119"/>
  <c r="B25" i="119"/>
  <c r="P24" i="119"/>
  <c r="P23" i="119"/>
  <c r="P22" i="119"/>
  <c r="P21" i="119"/>
  <c r="P20" i="119"/>
  <c r="P19" i="119"/>
  <c r="P18" i="119"/>
  <c r="P17" i="119"/>
  <c r="P16" i="119"/>
  <c r="P15" i="119"/>
  <c r="P14" i="119"/>
  <c r="P12" i="119"/>
  <c r="P11" i="119"/>
  <c r="P10" i="119"/>
  <c r="P9" i="119"/>
  <c r="P6" i="119"/>
  <c r="P5" i="119"/>
  <c r="P4" i="119"/>
  <c r="AD28" i="118"/>
  <c r="AC28" i="118"/>
  <c r="AB28" i="118"/>
  <c r="AA28" i="118"/>
  <c r="Z28" i="118"/>
  <c r="Y28" i="118"/>
  <c r="X28" i="118"/>
  <c r="W28" i="118"/>
  <c r="V28" i="118"/>
  <c r="U28" i="118"/>
  <c r="T28" i="118"/>
  <c r="S28" i="118"/>
  <c r="R28" i="118"/>
  <c r="Q28" i="118"/>
  <c r="P28" i="118"/>
  <c r="O28" i="118"/>
  <c r="N28" i="118"/>
  <c r="M28" i="118"/>
  <c r="L28" i="118"/>
  <c r="K28" i="118"/>
  <c r="J28" i="118"/>
  <c r="I28" i="118"/>
  <c r="H28" i="118"/>
  <c r="G28" i="118"/>
  <c r="F28" i="118"/>
  <c r="E28" i="118"/>
  <c r="D28" i="118"/>
  <c r="C28" i="118"/>
  <c r="AE27" i="118"/>
  <c r="AE26" i="118"/>
  <c r="AE25" i="118"/>
  <c r="AE24" i="118"/>
  <c r="AE23" i="118"/>
  <c r="AE22" i="118"/>
  <c r="AE21" i="118"/>
  <c r="AE20" i="118"/>
  <c r="AE19" i="118"/>
  <c r="AE18" i="118"/>
  <c r="AE17" i="118"/>
  <c r="AE16" i="118"/>
  <c r="AE15" i="118"/>
  <c r="AE14" i="118"/>
  <c r="AE13" i="118"/>
  <c r="AE12" i="118"/>
  <c r="AE11" i="118"/>
  <c r="AE10" i="118"/>
  <c r="AE9" i="118"/>
  <c r="AE8" i="118"/>
  <c r="A8" i="118"/>
  <c r="A9" i="118" s="1"/>
  <c r="A10" i="118" s="1"/>
  <c r="A11" i="118" s="1"/>
  <c r="A12" i="118" s="1"/>
  <c r="A13" i="118" s="1"/>
  <c r="A14" i="118" s="1"/>
  <c r="A15" i="118" s="1"/>
  <c r="A16" i="118" s="1"/>
  <c r="A17" i="118" s="1"/>
  <c r="A18" i="118" s="1"/>
  <c r="A19" i="118" s="1"/>
  <c r="A20" i="118" s="1"/>
  <c r="A21" i="118" s="1"/>
  <c r="A22" i="118" s="1"/>
  <c r="A23" i="118" s="1"/>
  <c r="A24" i="118" s="1"/>
  <c r="A25" i="118" s="1"/>
  <c r="A26" i="118" s="1"/>
  <c r="A27" i="118" s="1"/>
  <c r="AE7" i="118"/>
  <c r="K26" i="117"/>
  <c r="J26" i="117"/>
  <c r="I26" i="117"/>
  <c r="H26" i="117"/>
  <c r="G26" i="117"/>
  <c r="F26" i="117"/>
  <c r="E26" i="117"/>
  <c r="D26" i="117"/>
  <c r="C26" i="117"/>
  <c r="B26" i="117"/>
  <c r="J28" i="115"/>
  <c r="I28" i="115"/>
  <c r="H28" i="115"/>
  <c r="G28" i="115"/>
  <c r="F28" i="115"/>
  <c r="E28" i="115"/>
  <c r="D28" i="115"/>
  <c r="C28" i="115"/>
  <c r="B28" i="115"/>
  <c r="K27" i="115"/>
  <c r="K26" i="115"/>
  <c r="K25" i="115"/>
  <c r="K24" i="115"/>
  <c r="K23" i="115"/>
  <c r="K22" i="115"/>
  <c r="K21" i="115"/>
  <c r="K20" i="115"/>
  <c r="K19" i="115"/>
  <c r="K18" i="115"/>
  <c r="K17" i="115"/>
  <c r="K16" i="115"/>
  <c r="K15" i="115"/>
  <c r="K14" i="115"/>
  <c r="K13" i="115"/>
  <c r="K12" i="115"/>
  <c r="K11" i="115"/>
  <c r="K10" i="115"/>
  <c r="K28" i="115" s="1"/>
  <c r="K9" i="115"/>
  <c r="K8" i="115"/>
  <c r="K7" i="115"/>
  <c r="F27" i="114"/>
  <c r="E27" i="114"/>
  <c r="C27" i="114"/>
  <c r="B27" i="114"/>
  <c r="D27" i="114" s="1"/>
  <c r="G26" i="114"/>
  <c r="H26" i="114" s="1"/>
  <c r="G25" i="114"/>
  <c r="H25" i="114" s="1"/>
  <c r="G24" i="114"/>
  <c r="H24" i="114" s="1"/>
  <c r="G23" i="114"/>
  <c r="H23" i="114" s="1"/>
  <c r="G22" i="114"/>
  <c r="H22" i="114" s="1"/>
  <c r="G21" i="114"/>
  <c r="H21" i="114" s="1"/>
  <c r="G20" i="114"/>
  <c r="H20" i="114" s="1"/>
  <c r="G19" i="114"/>
  <c r="H19" i="114" s="1"/>
  <c r="G18" i="114"/>
  <c r="H18" i="114" s="1"/>
  <c r="H17" i="114"/>
  <c r="G16" i="114"/>
  <c r="H16" i="114" s="1"/>
  <c r="G15" i="114"/>
  <c r="H15" i="114" s="1"/>
  <c r="H14" i="114"/>
  <c r="G13" i="114"/>
  <c r="H13" i="114" s="1"/>
  <c r="H12" i="114"/>
  <c r="G12" i="114"/>
  <c r="G11" i="114"/>
  <c r="H11" i="114" s="1"/>
  <c r="G10" i="114"/>
  <c r="H10" i="114" s="1"/>
  <c r="G9" i="114"/>
  <c r="H9" i="114" s="1"/>
  <c r="G8" i="114"/>
  <c r="H8" i="114" s="1"/>
  <c r="G7" i="114"/>
  <c r="G6" i="114"/>
  <c r="H6" i="114" s="1"/>
  <c r="E71" i="113"/>
  <c r="X16" i="112"/>
  <c r="X15" i="112"/>
  <c r="X14" i="112"/>
  <c r="X13" i="112"/>
  <c r="X12" i="112"/>
  <c r="X11" i="112"/>
  <c r="X10" i="112"/>
  <c r="X9" i="112"/>
  <c r="X8" i="112"/>
  <c r="X7" i="112"/>
  <c r="X6" i="112"/>
  <c r="X5" i="112"/>
  <c r="X3" i="112"/>
  <c r="P25" i="119" l="1"/>
  <c r="G27" i="114"/>
  <c r="AE28" i="118"/>
  <c r="AE35" i="118" s="1"/>
  <c r="H7" i="114"/>
  <c r="H27" i="114" s="1"/>
  <c r="G17" i="111" l="1"/>
  <c r="G13" i="111"/>
  <c r="G10" i="111"/>
  <c r="G6" i="111"/>
  <c r="E19" i="110"/>
  <c r="E18" i="110"/>
  <c r="E17" i="110"/>
  <c r="D20" i="109"/>
  <c r="C20" i="109"/>
  <c r="T19" i="109"/>
  <c r="L19" i="109"/>
  <c r="E19" i="109"/>
  <c r="N19" i="109" s="1"/>
  <c r="N18" i="109"/>
  <c r="N17" i="109"/>
  <c r="L17" i="109"/>
  <c r="E16" i="109"/>
  <c r="N15" i="109"/>
  <c r="L15" i="109"/>
  <c r="E14" i="109"/>
  <c r="E13" i="109"/>
  <c r="L12" i="109"/>
  <c r="E12" i="109"/>
  <c r="N12" i="109" s="1"/>
  <c r="N11" i="109"/>
  <c r="L11" i="109"/>
  <c r="H11" i="109"/>
  <c r="E11" i="109"/>
  <c r="L10" i="109"/>
  <c r="E10" i="109"/>
  <c r="N10" i="109" s="1"/>
  <c r="E9" i="109"/>
  <c r="T8" i="109"/>
  <c r="L8" i="109"/>
  <c r="E8" i="109"/>
  <c r="N8" i="109" s="1"/>
  <c r="N7" i="109"/>
  <c r="L7" i="109"/>
  <c r="E7" i="109"/>
  <c r="L6" i="109"/>
  <c r="E6" i="109"/>
  <c r="N6" i="109" s="1"/>
  <c r="L5" i="109"/>
  <c r="E5" i="109"/>
  <c r="N5" i="109" s="1"/>
  <c r="L4" i="109"/>
  <c r="E4" i="109"/>
  <c r="N4" i="109" s="1"/>
  <c r="N3" i="109"/>
  <c r="L3" i="109"/>
  <c r="E3" i="109"/>
  <c r="X15" i="108"/>
  <c r="N15" i="108" s="1"/>
  <c r="W15" i="108"/>
  <c r="U15" i="108"/>
  <c r="P15" i="108" s="1"/>
  <c r="T15" i="108"/>
  <c r="O15" i="108" s="1"/>
  <c r="M15" i="108"/>
  <c r="X14" i="108"/>
  <c r="W14" i="108"/>
  <c r="M14" i="108" s="1"/>
  <c r="U14" i="108"/>
  <c r="P14" i="108" s="1"/>
  <c r="T14" i="108"/>
  <c r="O14" i="108"/>
  <c r="X13" i="108"/>
  <c r="W13" i="108"/>
  <c r="M13" i="108" s="1"/>
  <c r="U13" i="108"/>
  <c r="P13" i="108" s="1"/>
  <c r="T13" i="108"/>
  <c r="O13" i="108"/>
  <c r="N13" i="108"/>
  <c r="X12" i="108"/>
  <c r="W12" i="108"/>
  <c r="U12" i="108"/>
  <c r="N12" i="108" s="1"/>
  <c r="T12" i="108"/>
  <c r="P12" i="108"/>
  <c r="O12" i="108"/>
  <c r="M12" i="108"/>
  <c r="X11" i="108"/>
  <c r="W11" i="108"/>
  <c r="U11" i="108"/>
  <c r="P11" i="108" s="1"/>
  <c r="T11" i="108"/>
  <c r="O11" i="108" s="1"/>
  <c r="X10" i="108"/>
  <c r="W10" i="108"/>
  <c r="U10" i="108"/>
  <c r="T10" i="108"/>
  <c r="O10" i="108" s="1"/>
  <c r="P10" i="108"/>
  <c r="N10" i="108"/>
  <c r="X9" i="108"/>
  <c r="W9" i="108"/>
  <c r="M9" i="108" s="1"/>
  <c r="U9" i="108"/>
  <c r="P9" i="108" s="1"/>
  <c r="T9" i="108"/>
  <c r="O9" i="108" s="1"/>
  <c r="N9" i="108"/>
  <c r="X8" i="108"/>
  <c r="N8" i="108" s="1"/>
  <c r="W8" i="108"/>
  <c r="U8" i="108"/>
  <c r="P8" i="108" s="1"/>
  <c r="T8" i="108"/>
  <c r="O8" i="108" s="1"/>
  <c r="X7" i="108"/>
  <c r="N7" i="108" s="1"/>
  <c r="W7" i="108"/>
  <c r="M7" i="108" s="1"/>
  <c r="U7" i="108"/>
  <c r="P7" i="108" s="1"/>
  <c r="T7" i="108"/>
  <c r="O7" i="108"/>
  <c r="X6" i="108"/>
  <c r="N6" i="108" s="1"/>
  <c r="W6" i="108"/>
  <c r="U6" i="108"/>
  <c r="P6" i="108" s="1"/>
  <c r="T6" i="108"/>
  <c r="O6" i="108" s="1"/>
  <c r="M6" i="108"/>
  <c r="X5" i="108"/>
  <c r="W5" i="108"/>
  <c r="M5" i="108" s="1"/>
  <c r="U5" i="108"/>
  <c r="P5" i="108" s="1"/>
  <c r="T5" i="108"/>
  <c r="O5" i="108"/>
  <c r="X4" i="108"/>
  <c r="W4" i="108"/>
  <c r="M4" i="108" s="1"/>
  <c r="U4" i="108"/>
  <c r="P4" i="108" s="1"/>
  <c r="T4" i="108"/>
  <c r="O4" i="108"/>
  <c r="N4" i="108"/>
  <c r="R24" i="107"/>
  <c r="M24" i="107"/>
  <c r="L24" i="107"/>
  <c r="G24" i="107"/>
  <c r="F24" i="107"/>
  <c r="G45" i="106"/>
  <c r="D23" i="110" s="1"/>
  <c r="E23" i="110" s="1"/>
  <c r="F45" i="106"/>
  <c r="D24" i="110" s="1"/>
  <c r="E24" i="110" s="1"/>
  <c r="E45" i="106"/>
  <c r="D22" i="110" s="1"/>
  <c r="E22" i="110" s="1"/>
  <c r="D45" i="106"/>
  <c r="C45" i="106"/>
  <c r="D21" i="110" s="1"/>
  <c r="E21" i="110" s="1"/>
  <c r="A24" i="106"/>
  <c r="A25" i="106" s="1"/>
  <c r="A26" i="106" s="1"/>
  <c r="A27" i="106" s="1"/>
  <c r="A28" i="106" s="1"/>
  <c r="A29" i="106" s="1"/>
  <c r="A30" i="106" s="1"/>
  <c r="A31" i="106" s="1"/>
  <c r="A32" i="106" s="1"/>
  <c r="A33" i="106" s="1"/>
  <c r="A34" i="106" s="1"/>
  <c r="A35" i="106" s="1"/>
  <c r="A36" i="106" s="1"/>
  <c r="A37" i="106" s="1"/>
  <c r="A38" i="106" s="1"/>
  <c r="A39" i="106" s="1"/>
  <c r="A40" i="106" s="1"/>
  <c r="A41" i="106" s="1"/>
  <c r="A42" i="106" s="1"/>
  <c r="G26" i="105"/>
  <c r="C25" i="105"/>
  <c r="F25" i="105" s="1"/>
  <c r="C24" i="105"/>
  <c r="F24" i="105" s="1"/>
  <c r="C23" i="105"/>
  <c r="F23" i="105" s="1"/>
  <c r="E22" i="105"/>
  <c r="H20" i="105"/>
  <c r="E20" i="105"/>
  <c r="E19" i="105"/>
  <c r="C18" i="105"/>
  <c r="I18" i="105" s="1"/>
  <c r="J18" i="105" s="1"/>
  <c r="D17" i="105"/>
  <c r="D26" i="105" s="1"/>
  <c r="C16" i="105"/>
  <c r="I16" i="105" s="1"/>
  <c r="J16" i="105" s="1"/>
  <c r="C15" i="105"/>
  <c r="H22" i="105" s="1"/>
  <c r="C14" i="105"/>
  <c r="I14" i="105" s="1"/>
  <c r="C13" i="105"/>
  <c r="I13" i="105" s="1"/>
  <c r="J13" i="105" s="1"/>
  <c r="C12" i="105"/>
  <c r="I12" i="105" s="1"/>
  <c r="C11" i="105"/>
  <c r="I11" i="105" s="1"/>
  <c r="J11" i="105" s="1"/>
  <c r="I10" i="105"/>
  <c r="J10" i="105" s="1"/>
  <c r="C10" i="105"/>
  <c r="F10" i="105" s="1"/>
  <c r="C9" i="105"/>
  <c r="F9" i="105" s="1"/>
  <c r="C8" i="105"/>
  <c r="I8" i="105" s="1"/>
  <c r="J8" i="105" s="1"/>
  <c r="E7" i="105"/>
  <c r="C7" i="105" s="1"/>
  <c r="C6" i="105"/>
  <c r="I6" i="105" s="1"/>
  <c r="I20" i="105" s="1"/>
  <c r="I5" i="105"/>
  <c r="P50" i="104"/>
  <c r="O50" i="104"/>
  <c r="N50" i="104"/>
  <c r="M50" i="104"/>
  <c r="L50" i="104"/>
  <c r="K50" i="104"/>
  <c r="J50" i="104"/>
  <c r="I50" i="104"/>
  <c r="H50" i="104"/>
  <c r="G50" i="104"/>
  <c r="F50" i="104"/>
  <c r="E50" i="104"/>
  <c r="D50" i="104"/>
  <c r="C50" i="104"/>
  <c r="Q49" i="104"/>
  <c r="Q48" i="104"/>
  <c r="Q47" i="104"/>
  <c r="Q46" i="104"/>
  <c r="A46" i="104"/>
  <c r="Q45" i="104"/>
  <c r="Q44" i="104"/>
  <c r="Q43" i="104"/>
  <c r="Q42" i="104"/>
  <c r="Q41" i="104"/>
  <c r="Q40" i="104"/>
  <c r="Q39" i="104"/>
  <c r="Q38" i="104"/>
  <c r="Q37" i="104"/>
  <c r="Q36" i="104"/>
  <c r="Q35" i="104"/>
  <c r="Q34" i="104"/>
  <c r="Q33" i="104"/>
  <c r="Q32" i="104"/>
  <c r="A32" i="104"/>
  <c r="A33" i="104" s="1"/>
  <c r="A34" i="104" s="1"/>
  <c r="A35" i="104" s="1"/>
  <c r="A36" i="104" s="1"/>
  <c r="A37" i="104" s="1"/>
  <c r="A38" i="104" s="1"/>
  <c r="A39" i="104" s="1"/>
  <c r="A40" i="104" s="1"/>
  <c r="A41" i="104" s="1"/>
  <c r="A42" i="104" s="1"/>
  <c r="A43" i="104" s="1"/>
  <c r="A44" i="104" s="1"/>
  <c r="Q31" i="104"/>
  <c r="Q30" i="104"/>
  <c r="L29" i="104"/>
  <c r="Q29" i="104" s="1"/>
  <c r="Q28" i="104"/>
  <c r="Q27" i="104"/>
  <c r="Q26" i="104"/>
  <c r="Q25" i="104"/>
  <c r="Q24" i="104"/>
  <c r="Q23" i="104"/>
  <c r="Q22" i="104"/>
  <c r="Q21" i="104"/>
  <c r="Q20" i="104"/>
  <c r="Q19" i="104"/>
  <c r="Q18" i="104"/>
  <c r="Q17" i="104"/>
  <c r="Q16" i="104"/>
  <c r="Q15" i="104"/>
  <c r="Q14" i="104"/>
  <c r="Q13" i="104"/>
  <c r="Q12" i="104"/>
  <c r="Q11" i="104"/>
  <c r="Q10" i="104"/>
  <c r="Q9" i="104"/>
  <c r="Q8" i="104"/>
  <c r="Q7" i="104"/>
  <c r="Q6" i="104"/>
  <c r="Q5" i="104"/>
  <c r="Q4" i="104"/>
  <c r="A4" i="104"/>
  <c r="A5" i="104" s="1"/>
  <c r="A6" i="104" s="1"/>
  <c r="A7" i="104" s="1"/>
  <c r="A8" i="104" s="1"/>
  <c r="A9" i="104" s="1"/>
  <c r="A10" i="104" s="1"/>
  <c r="A11" i="104" s="1"/>
  <c r="A12" i="104" s="1"/>
  <c r="A13" i="104" s="1"/>
  <c r="A14" i="104" s="1"/>
  <c r="A15" i="104" s="1"/>
  <c r="A16" i="104" s="1"/>
  <c r="A17" i="104" s="1"/>
  <c r="A18" i="104" s="1"/>
  <c r="A19" i="104" s="1"/>
  <c r="A20" i="104" s="1"/>
  <c r="A21" i="104" s="1"/>
  <c r="A22" i="104" s="1"/>
  <c r="A23" i="104" s="1"/>
  <c r="A24" i="104" s="1"/>
  <c r="A25" i="104" s="1"/>
  <c r="A26" i="104" s="1"/>
  <c r="A27" i="104" s="1"/>
  <c r="A28" i="104" s="1"/>
  <c r="A29" i="104" s="1"/>
  <c r="A30" i="104" s="1"/>
  <c r="Q3" i="104"/>
  <c r="K49" i="103"/>
  <c r="K48" i="103" s="1"/>
  <c r="P46" i="103"/>
  <c r="K44" i="103"/>
  <c r="C33" i="103"/>
  <c r="E29" i="103"/>
  <c r="E33" i="103" s="1"/>
  <c r="E19" i="103"/>
  <c r="F17" i="103"/>
  <c r="F21" i="103" s="1"/>
  <c r="F22" i="103" s="1"/>
  <c r="E17" i="103"/>
  <c r="E21" i="103" s="1"/>
  <c r="E22" i="103" s="1"/>
  <c r="F16" i="103"/>
  <c r="E16" i="103"/>
  <c r="F8" i="103"/>
  <c r="E8" i="103"/>
  <c r="E44" i="102"/>
  <c r="D44" i="102"/>
  <c r="C44" i="102"/>
  <c r="E21" i="102"/>
  <c r="E20" i="102"/>
  <c r="E32" i="101"/>
  <c r="D32" i="101"/>
  <c r="E15" i="100"/>
  <c r="D15" i="100"/>
  <c r="C15" i="100"/>
  <c r="G14" i="100"/>
  <c r="G13" i="100"/>
  <c r="G12" i="100"/>
  <c r="G11" i="100"/>
  <c r="G10" i="100"/>
  <c r="F9" i="100"/>
  <c r="G9" i="100" s="1"/>
  <c r="F8" i="100"/>
  <c r="G8" i="100" s="1"/>
  <c r="G7" i="100"/>
  <c r="F6" i="100"/>
  <c r="G6" i="100" s="1"/>
  <c r="G5" i="100"/>
  <c r="F4" i="100"/>
  <c r="G4" i="100" s="1"/>
  <c r="G3" i="100"/>
  <c r="C31" i="99"/>
  <c r="E21" i="105" l="1"/>
  <c r="M8" i="108"/>
  <c r="Q50" i="104"/>
  <c r="C17" i="105"/>
  <c r="I17" i="105" s="1"/>
  <c r="J17" i="105" s="1"/>
  <c r="N5" i="108"/>
  <c r="N14" i="108"/>
  <c r="M10" i="108"/>
  <c r="E26" i="105"/>
  <c r="M11" i="108"/>
  <c r="G15" i="100"/>
  <c r="H19" i="105"/>
  <c r="N11" i="108"/>
  <c r="I7" i="105"/>
  <c r="F8" i="105"/>
  <c r="I19" i="105"/>
  <c r="F13" i="105"/>
  <c r="F7" i="105"/>
  <c r="F18" i="105"/>
  <c r="F11" i="105"/>
  <c r="F15" i="100"/>
  <c r="F6" i="105"/>
  <c r="F17" i="105"/>
  <c r="I15" i="105"/>
  <c r="J15" i="105" s="1"/>
  <c r="C26" i="105" l="1"/>
  <c r="F26" i="105"/>
  <c r="I21" i="105"/>
  <c r="H21" i="105"/>
  <c r="I22" i="105"/>
  <c r="J19" i="105" s="1"/>
  <c r="I26" i="105"/>
  <c r="J5" i="105"/>
  <c r="H12" i="96" l="1"/>
  <c r="F3" i="95"/>
  <c r="F4" i="95"/>
  <c r="F5" i="95"/>
  <c r="F6" i="95"/>
  <c r="F7" i="95"/>
  <c r="F8" i="95"/>
  <c r="F9" i="95"/>
  <c r="F10" i="95"/>
  <c r="F11" i="95"/>
  <c r="F12" i="95"/>
  <c r="F13" i="95"/>
  <c r="C14" i="95"/>
  <c r="D14" i="95"/>
  <c r="E14" i="95"/>
  <c r="F3" i="94"/>
  <c r="F4" i="94"/>
  <c r="F5" i="94"/>
  <c r="F6" i="94"/>
  <c r="F7" i="94"/>
  <c r="F8" i="94"/>
  <c r="F9" i="94"/>
  <c r="F10" i="94"/>
  <c r="F11" i="94"/>
  <c r="F12" i="94"/>
  <c r="F13" i="94"/>
  <c r="C14" i="94"/>
  <c r="D14" i="94"/>
  <c r="E14" i="94"/>
  <c r="F14" i="94"/>
  <c r="F19" i="94"/>
  <c r="F20" i="94"/>
  <c r="F21" i="94"/>
  <c r="F22" i="94"/>
  <c r="F23" i="94"/>
  <c r="F24" i="94"/>
  <c r="F25" i="94"/>
  <c r="F26" i="94"/>
  <c r="F27" i="94"/>
  <c r="F28" i="94"/>
  <c r="F29" i="94"/>
  <c r="C30" i="94"/>
  <c r="D30" i="94"/>
  <c r="E30" i="94"/>
  <c r="F4" i="93"/>
  <c r="F5" i="93"/>
  <c r="F6" i="93"/>
  <c r="F7" i="93"/>
  <c r="F8" i="93"/>
  <c r="F9" i="93"/>
  <c r="F10" i="93"/>
  <c r="F11" i="93"/>
  <c r="F12" i="93"/>
  <c r="F13" i="93"/>
  <c r="C14" i="93"/>
  <c r="D14" i="93"/>
  <c r="E14" i="93"/>
  <c r="F20" i="93"/>
  <c r="F21" i="93"/>
  <c r="F22" i="93"/>
  <c r="F23" i="93"/>
  <c r="F24" i="93"/>
  <c r="F25" i="93"/>
  <c r="F26" i="93"/>
  <c r="F27" i="93"/>
  <c r="F28" i="93"/>
  <c r="F29" i="93"/>
  <c r="C30" i="93"/>
  <c r="D30" i="93"/>
  <c r="E30" i="93"/>
  <c r="F14" i="93" l="1"/>
  <c r="F30" i="93"/>
  <c r="F30" i="94"/>
  <c r="F14" i="95"/>
  <c r="E14" i="76"/>
  <c r="D14" i="76"/>
  <c r="C14" i="76"/>
  <c r="F13" i="76"/>
  <c r="F12" i="76"/>
  <c r="F11" i="76"/>
  <c r="F10" i="76"/>
  <c r="F9" i="76"/>
  <c r="F8" i="76"/>
  <c r="F7" i="76"/>
  <c r="F6" i="76"/>
  <c r="F5" i="76"/>
  <c r="F4" i="76"/>
  <c r="F3" i="76"/>
  <c r="E30" i="75"/>
  <c r="D30" i="75"/>
  <c r="C30" i="75"/>
  <c r="F29" i="75"/>
  <c r="F28" i="75"/>
  <c r="F27" i="75"/>
  <c r="F26" i="75"/>
  <c r="F25" i="75"/>
  <c r="F24" i="75"/>
  <c r="F23" i="75"/>
  <c r="F22" i="75"/>
  <c r="F21" i="75"/>
  <c r="F20" i="75"/>
  <c r="F19" i="75"/>
  <c r="E14" i="75"/>
  <c r="D14" i="75"/>
  <c r="C14" i="75"/>
  <c r="F14" i="75" s="1"/>
  <c r="F13" i="75"/>
  <c r="F12" i="75"/>
  <c r="F11" i="75"/>
  <c r="F10" i="75"/>
  <c r="F9" i="75"/>
  <c r="F8" i="75"/>
  <c r="F7" i="75"/>
  <c r="F6" i="75"/>
  <c r="F5" i="75"/>
  <c r="F4" i="75"/>
  <c r="F3" i="75"/>
  <c r="E30" i="74"/>
  <c r="D30" i="74"/>
  <c r="C30" i="74"/>
  <c r="F29" i="74"/>
  <c r="F28" i="74"/>
  <c r="F27" i="74"/>
  <c r="F26" i="74"/>
  <c r="F25" i="74"/>
  <c r="F24" i="74"/>
  <c r="F23" i="74"/>
  <c r="F22" i="74"/>
  <c r="F21" i="74"/>
  <c r="F20" i="74"/>
  <c r="F30" i="74" s="1"/>
  <c r="E14" i="74"/>
  <c r="D14" i="74"/>
  <c r="C14" i="74"/>
  <c r="F13" i="74"/>
  <c r="F12" i="74"/>
  <c r="F11" i="74"/>
  <c r="F10" i="74"/>
  <c r="F9" i="74"/>
  <c r="F8" i="74"/>
  <c r="F7" i="74"/>
  <c r="F6" i="74"/>
  <c r="F5" i="74"/>
  <c r="F4" i="74"/>
  <c r="L21" i="73"/>
  <c r="L19" i="73"/>
  <c r="L24" i="73" s="1"/>
  <c r="K14" i="73"/>
  <c r="K21" i="73" s="1"/>
  <c r="I14" i="73"/>
  <c r="K19" i="73" s="1"/>
  <c r="K24" i="73" s="1"/>
  <c r="C33" i="70"/>
  <c r="B33" i="70"/>
  <c r="D32" i="70"/>
  <c r="D31" i="70"/>
  <c r="D30" i="70"/>
  <c r="D29" i="70"/>
  <c r="D28" i="70"/>
  <c r="D27" i="70"/>
  <c r="D26" i="70"/>
  <c r="D25" i="70"/>
  <c r="D24" i="70"/>
  <c r="D23" i="70"/>
  <c r="D22" i="70"/>
  <c r="D21" i="70"/>
  <c r="C14" i="70"/>
  <c r="B14" i="70"/>
  <c r="D13" i="70"/>
  <c r="D12" i="70"/>
  <c r="D11" i="70"/>
  <c r="D10" i="70"/>
  <c r="D9" i="70"/>
  <c r="D8" i="70"/>
  <c r="D7" i="70"/>
  <c r="D6" i="70"/>
  <c r="D5" i="70"/>
  <c r="C31" i="69"/>
  <c r="B31" i="69"/>
  <c r="D30" i="69"/>
  <c r="D29" i="69"/>
  <c r="D28" i="69"/>
  <c r="D27" i="69"/>
  <c r="D26" i="69"/>
  <c r="D25" i="69"/>
  <c r="D24" i="69"/>
  <c r="D23" i="69"/>
  <c r="D22" i="69"/>
  <c r="D21" i="69"/>
  <c r="D20" i="69"/>
  <c r="D19" i="69"/>
  <c r="D13" i="69"/>
  <c r="D12" i="69"/>
  <c r="C11" i="69"/>
  <c r="C14" i="69" s="1"/>
  <c r="B11" i="69"/>
  <c r="B14" i="69" s="1"/>
  <c r="D10" i="69"/>
  <c r="D9" i="69"/>
  <c r="D8" i="69"/>
  <c r="D7" i="69"/>
  <c r="D6" i="69"/>
  <c r="D5" i="69"/>
  <c r="D4" i="69"/>
  <c r="J33" i="68"/>
  <c r="I33" i="68"/>
  <c r="H33" i="68"/>
  <c r="G33" i="68"/>
  <c r="F33" i="68"/>
  <c r="E33" i="68"/>
  <c r="D33" i="68"/>
  <c r="C33" i="68"/>
  <c r="B33" i="68"/>
  <c r="K32" i="68"/>
  <c r="K31" i="68"/>
  <c r="K30" i="68"/>
  <c r="K29" i="68"/>
  <c r="K28" i="68"/>
  <c r="K27" i="68"/>
  <c r="K26" i="68"/>
  <c r="K25" i="68"/>
  <c r="K24" i="68"/>
  <c r="K23" i="68"/>
  <c r="K22" i="68"/>
  <c r="K21" i="68"/>
  <c r="J16" i="68"/>
  <c r="I16" i="68"/>
  <c r="H16" i="68"/>
  <c r="G16" i="68"/>
  <c r="F16" i="68"/>
  <c r="E16" i="68"/>
  <c r="D16" i="68"/>
  <c r="C16" i="68"/>
  <c r="B16" i="68"/>
  <c r="K15" i="68"/>
  <c r="K14" i="68"/>
  <c r="K13" i="68"/>
  <c r="K12" i="68"/>
  <c r="K11" i="68"/>
  <c r="K10" i="68"/>
  <c r="K9" i="68"/>
  <c r="K8" i="68"/>
  <c r="K7" i="68"/>
  <c r="K6" i="68"/>
  <c r="K5" i="68"/>
  <c r="K4" i="68"/>
  <c r="D54" i="67"/>
  <c r="C54" i="67"/>
  <c r="B54" i="67"/>
  <c r="E53" i="67"/>
  <c r="E52" i="67"/>
  <c r="E51" i="67"/>
  <c r="E50" i="67"/>
  <c r="E49" i="67"/>
  <c r="E48" i="67"/>
  <c r="E47" i="67"/>
  <c r="E46" i="67"/>
  <c r="E45" i="67"/>
  <c r="E44" i="67"/>
  <c r="E43" i="67"/>
  <c r="E42" i="67"/>
  <c r="E41" i="67"/>
  <c r="E40" i="67"/>
  <c r="E39" i="67"/>
  <c r="E38" i="67"/>
  <c r="E37" i="67"/>
  <c r="E36" i="67"/>
  <c r="E35" i="67"/>
  <c r="E34" i="67"/>
  <c r="E33" i="67"/>
  <c r="E54" i="67" s="1"/>
  <c r="D24" i="67"/>
  <c r="C24" i="67"/>
  <c r="B24" i="67"/>
  <c r="E23" i="67"/>
  <c r="E22" i="67"/>
  <c r="E21" i="67"/>
  <c r="E20" i="67"/>
  <c r="E19" i="67"/>
  <c r="E18" i="67"/>
  <c r="E17" i="67"/>
  <c r="E16" i="67"/>
  <c r="E15" i="67"/>
  <c r="E14" i="67"/>
  <c r="E13" i="67"/>
  <c r="E12" i="67"/>
  <c r="E11" i="67"/>
  <c r="E10" i="67"/>
  <c r="E9" i="67"/>
  <c r="E8" i="67"/>
  <c r="E7" i="67"/>
  <c r="E6" i="67"/>
  <c r="E5" i="67"/>
  <c r="E4" i="67"/>
  <c r="E3" i="67"/>
  <c r="E24" i="67" s="1"/>
  <c r="J36" i="66"/>
  <c r="I36" i="66"/>
  <c r="H36" i="66"/>
  <c r="G36" i="66"/>
  <c r="F36" i="66"/>
  <c r="E36" i="66"/>
  <c r="D36" i="66"/>
  <c r="C36" i="66"/>
  <c r="B36" i="66"/>
  <c r="K35" i="66"/>
  <c r="K34" i="66"/>
  <c r="K33" i="66"/>
  <c r="K32" i="66"/>
  <c r="K31" i="66"/>
  <c r="K30" i="66"/>
  <c r="K29" i="66"/>
  <c r="K28" i="66"/>
  <c r="K27" i="66"/>
  <c r="K26" i="66"/>
  <c r="K25" i="66"/>
  <c r="AQ24" i="66"/>
  <c r="K24" i="66"/>
  <c r="J15" i="66"/>
  <c r="I15" i="66"/>
  <c r="H15" i="66"/>
  <c r="G15" i="66"/>
  <c r="F15" i="66"/>
  <c r="E15" i="66"/>
  <c r="D15" i="66"/>
  <c r="C15" i="66"/>
  <c r="B15" i="66"/>
  <c r="K14" i="66"/>
  <c r="K13" i="66"/>
  <c r="K12" i="66"/>
  <c r="K11" i="66"/>
  <c r="K10" i="66"/>
  <c r="K9" i="66"/>
  <c r="K8" i="66"/>
  <c r="K7" i="66"/>
  <c r="K6" i="66"/>
  <c r="K5" i="66"/>
  <c r="K4" i="66"/>
  <c r="K3" i="66"/>
  <c r="C41" i="64"/>
  <c r="B41" i="64"/>
  <c r="D40" i="64"/>
  <c r="E40" i="64" s="1"/>
  <c r="D39" i="64"/>
  <c r="E39" i="64" s="1"/>
  <c r="D38" i="64"/>
  <c r="E38" i="64" s="1"/>
  <c r="D37" i="64"/>
  <c r="E37" i="64" s="1"/>
  <c r="D36" i="64"/>
  <c r="E36" i="64" s="1"/>
  <c r="D35" i="64"/>
  <c r="E35" i="64" s="1"/>
  <c r="D34" i="64"/>
  <c r="E34" i="64" s="1"/>
  <c r="D33" i="64"/>
  <c r="E33" i="64" s="1"/>
  <c r="D32" i="64"/>
  <c r="E32" i="64" s="1"/>
  <c r="D31" i="64"/>
  <c r="E31" i="64" s="1"/>
  <c r="D30" i="64"/>
  <c r="E30" i="64" s="1"/>
  <c r="D29" i="64"/>
  <c r="E29" i="64" s="1"/>
  <c r="D28" i="64"/>
  <c r="E28" i="64" s="1"/>
  <c r="D27" i="64"/>
  <c r="E27" i="64" s="1"/>
  <c r="D26" i="64"/>
  <c r="E26" i="64" s="1"/>
  <c r="D25" i="64"/>
  <c r="E25" i="64" s="1"/>
  <c r="D24" i="64"/>
  <c r="E24" i="64" s="1"/>
  <c r="D23" i="64"/>
  <c r="E23" i="64" s="1"/>
  <c r="D22" i="64"/>
  <c r="E22" i="64" s="1"/>
  <c r="D21" i="64"/>
  <c r="E21" i="64" s="1"/>
  <c r="D20" i="64"/>
  <c r="E20" i="64" s="1"/>
  <c r="V16" i="63"/>
  <c r="U16" i="63"/>
  <c r="T16" i="63"/>
  <c r="S16" i="63"/>
  <c r="R16" i="63"/>
  <c r="Q16" i="63"/>
  <c r="P16" i="63"/>
  <c r="O16" i="63"/>
  <c r="N16" i="63"/>
  <c r="M16" i="63"/>
  <c r="L16" i="63"/>
  <c r="K16" i="63"/>
  <c r="J16" i="63"/>
  <c r="I16" i="63"/>
  <c r="H16" i="63"/>
  <c r="G16" i="63"/>
  <c r="F16" i="63"/>
  <c r="E16" i="63"/>
  <c r="D16" i="63"/>
  <c r="C16" i="63"/>
  <c r="B16" i="63"/>
  <c r="W15" i="63"/>
  <c r="W14" i="63"/>
  <c r="W13" i="63"/>
  <c r="W12" i="63"/>
  <c r="W11" i="63"/>
  <c r="W10" i="63"/>
  <c r="W9" i="63"/>
  <c r="W8" i="63"/>
  <c r="W7" i="63"/>
  <c r="W6" i="63"/>
  <c r="W5" i="63"/>
  <c r="W4" i="63"/>
  <c r="C42" i="62"/>
  <c r="D42" i="62" s="1"/>
  <c r="E42" i="62" s="1"/>
  <c r="B42" i="62"/>
  <c r="D41" i="62"/>
  <c r="E41" i="62" s="1"/>
  <c r="D40" i="62"/>
  <c r="E40" i="62" s="1"/>
  <c r="D39" i="62"/>
  <c r="E39" i="62" s="1"/>
  <c r="D38" i="62"/>
  <c r="E38" i="62" s="1"/>
  <c r="D37" i="62"/>
  <c r="E37" i="62" s="1"/>
  <c r="D36" i="62"/>
  <c r="E36" i="62" s="1"/>
  <c r="D35" i="62"/>
  <c r="E35" i="62" s="1"/>
  <c r="D34" i="62"/>
  <c r="E34" i="62" s="1"/>
  <c r="D33" i="62"/>
  <c r="E33" i="62" s="1"/>
  <c r="D32" i="62"/>
  <c r="E32" i="62" s="1"/>
  <c r="D31" i="62"/>
  <c r="E31" i="62" s="1"/>
  <c r="D30" i="62"/>
  <c r="E30" i="62" s="1"/>
  <c r="D29" i="62"/>
  <c r="E29" i="62" s="1"/>
  <c r="D28" i="62"/>
  <c r="E28" i="62" s="1"/>
  <c r="D27" i="62"/>
  <c r="E27" i="62" s="1"/>
  <c r="D26" i="62"/>
  <c r="E26" i="62" s="1"/>
  <c r="D25" i="62"/>
  <c r="E25" i="62" s="1"/>
  <c r="D24" i="62"/>
  <c r="E24" i="62" s="1"/>
  <c r="D23" i="62"/>
  <c r="E23" i="62" s="1"/>
  <c r="D22" i="62"/>
  <c r="E22" i="62" s="1"/>
  <c r="D21" i="62"/>
  <c r="E21" i="62" s="1"/>
  <c r="V15" i="61"/>
  <c r="U15" i="61"/>
  <c r="T15" i="61"/>
  <c r="S15" i="61"/>
  <c r="R15" i="61"/>
  <c r="Q15" i="61"/>
  <c r="P15" i="61"/>
  <c r="O15" i="61"/>
  <c r="N15" i="61"/>
  <c r="M15" i="61"/>
  <c r="L15" i="61"/>
  <c r="K15" i="61"/>
  <c r="J15" i="61"/>
  <c r="I15" i="61"/>
  <c r="H15" i="61"/>
  <c r="G15" i="61"/>
  <c r="F15" i="61"/>
  <c r="E15" i="61"/>
  <c r="D15" i="61"/>
  <c r="C15" i="61"/>
  <c r="B15" i="61"/>
  <c r="W14" i="61"/>
  <c r="W13" i="61"/>
  <c r="W12" i="61"/>
  <c r="W11" i="61"/>
  <c r="W10" i="61"/>
  <c r="W9" i="61"/>
  <c r="W8" i="61"/>
  <c r="W7" i="61"/>
  <c r="W6" i="61"/>
  <c r="W5" i="61"/>
  <c r="W4" i="61"/>
  <c r="W3" i="61"/>
  <c r="D41" i="64" l="1"/>
  <c r="E41" i="64" s="1"/>
  <c r="D46" i="62"/>
  <c r="K36" i="66"/>
  <c r="D14" i="70"/>
  <c r="F14" i="74"/>
  <c r="K15" i="66"/>
  <c r="D31" i="69"/>
  <c r="F14" i="76"/>
  <c r="K33" i="68"/>
  <c r="D33" i="70"/>
  <c r="W16" i="63"/>
  <c r="F30" i="75"/>
  <c r="W15" i="61"/>
  <c r="K16" i="68"/>
  <c r="D14" i="69"/>
  <c r="D11" i="69"/>
  <c r="G12" i="56" l="1"/>
  <c r="F12" i="56"/>
  <c r="E12" i="56"/>
  <c r="D12" i="56"/>
  <c r="C12" i="56"/>
  <c r="B12" i="56"/>
  <c r="C42" i="41" l="1"/>
  <c r="B42" i="41"/>
  <c r="H28" i="31" l="1"/>
  <c r="J23" i="31"/>
  <c r="K23" i="31" s="1"/>
  <c r="J22" i="31"/>
  <c r="K22" i="31" s="1"/>
  <c r="J21" i="31"/>
  <c r="K21" i="31" s="1"/>
  <c r="J20" i="31"/>
  <c r="K20" i="31" s="1"/>
  <c r="J19" i="31"/>
  <c r="K19" i="31" s="1"/>
  <c r="J18" i="31"/>
  <c r="K18" i="31" s="1"/>
  <c r="J17" i="31"/>
  <c r="K17" i="31" s="1"/>
  <c r="J16" i="31"/>
  <c r="K16" i="31" s="1"/>
  <c r="J15" i="31"/>
  <c r="K15" i="31" s="1"/>
  <c r="J14" i="31"/>
  <c r="K14" i="31" s="1"/>
  <c r="J13" i="31"/>
  <c r="K13" i="31" s="1"/>
  <c r="J12" i="31"/>
  <c r="K12" i="31" s="1"/>
  <c r="J11" i="31"/>
  <c r="K11" i="31" s="1"/>
  <c r="J10" i="31"/>
  <c r="K10" i="31" s="1"/>
  <c r="J9" i="31"/>
  <c r="K9" i="31" s="1"/>
  <c r="J8" i="31"/>
  <c r="K8" i="31" s="1"/>
  <c r="K7" i="31"/>
  <c r="J7" i="31"/>
  <c r="J6" i="31"/>
  <c r="K6" i="31" s="1"/>
  <c r="J5" i="31"/>
  <c r="K5" i="31" s="1"/>
  <c r="J4" i="31"/>
  <c r="K4" i="31" s="1"/>
  <c r="J3" i="31"/>
  <c r="K3" i="31" s="1"/>
  <c r="AA44" i="29"/>
  <c r="Z44" i="29"/>
  <c r="Y44" i="29"/>
  <c r="X44" i="29"/>
  <c r="W44" i="29"/>
  <c r="V44" i="29"/>
  <c r="U44" i="29"/>
  <c r="T44" i="29"/>
  <c r="R44" i="29"/>
  <c r="Q44" i="29"/>
  <c r="P44" i="29"/>
  <c r="O44" i="29"/>
  <c r="N44" i="29"/>
  <c r="M44" i="29"/>
  <c r="L44" i="29"/>
  <c r="K44" i="29"/>
  <c r="H44" i="29"/>
  <c r="G44" i="29"/>
  <c r="F44" i="29"/>
  <c r="E44" i="29"/>
  <c r="I43" i="29"/>
  <c r="D43" i="29"/>
  <c r="C43" i="29"/>
  <c r="B43" i="29"/>
  <c r="I42" i="29"/>
  <c r="D42" i="29"/>
  <c r="C42" i="29"/>
  <c r="B42" i="29"/>
  <c r="I41" i="29"/>
  <c r="D41" i="29"/>
  <c r="C41" i="29"/>
  <c r="B41" i="29"/>
  <c r="I40" i="29"/>
  <c r="D40" i="29"/>
  <c r="C40" i="29"/>
  <c r="B40" i="29"/>
  <c r="I39" i="29"/>
  <c r="D39" i="29"/>
  <c r="C39" i="29"/>
  <c r="B39" i="29"/>
  <c r="I38" i="29"/>
  <c r="D38" i="29"/>
  <c r="C38" i="29"/>
  <c r="B38" i="29"/>
  <c r="I37" i="29"/>
  <c r="D37" i="29"/>
  <c r="C37" i="29"/>
  <c r="B37" i="29"/>
  <c r="I36" i="29"/>
  <c r="D36" i="29"/>
  <c r="C36" i="29"/>
  <c r="B36" i="29"/>
  <c r="I35" i="29"/>
  <c r="D35" i="29"/>
  <c r="C35" i="29"/>
  <c r="B35" i="29"/>
  <c r="I34" i="29"/>
  <c r="D34" i="29"/>
  <c r="C34" i="29"/>
  <c r="B34" i="29"/>
  <c r="I33" i="29"/>
  <c r="D33" i="29"/>
  <c r="C33" i="29"/>
  <c r="B33" i="29"/>
  <c r="I32" i="29"/>
  <c r="D32" i="29"/>
  <c r="C32" i="29"/>
  <c r="B32" i="29"/>
  <c r="I31" i="29"/>
  <c r="D31" i="29"/>
  <c r="C31" i="29"/>
  <c r="B31" i="29"/>
  <c r="I30" i="29"/>
  <c r="D30" i="29"/>
  <c r="C30" i="29"/>
  <c r="B30" i="29"/>
  <c r="I29" i="29"/>
  <c r="D29" i="29"/>
  <c r="C29" i="29"/>
  <c r="B29" i="29"/>
  <c r="I28" i="29"/>
  <c r="D28" i="29"/>
  <c r="C28" i="29"/>
  <c r="B28" i="29"/>
  <c r="I27" i="29"/>
  <c r="D27" i="29"/>
  <c r="C27" i="29"/>
  <c r="B27" i="29"/>
  <c r="I26" i="29"/>
  <c r="D26" i="29"/>
  <c r="C26" i="29"/>
  <c r="B26" i="29"/>
  <c r="I25" i="29"/>
  <c r="D25" i="29"/>
  <c r="C25" i="29"/>
  <c r="B25" i="29"/>
  <c r="I24" i="29"/>
  <c r="D24" i="29"/>
  <c r="C24" i="29"/>
  <c r="B24" i="29"/>
  <c r="I23" i="29"/>
  <c r="I44" i="29" s="1"/>
  <c r="D23" i="29"/>
  <c r="D44" i="29" s="1"/>
  <c r="C23" i="29"/>
  <c r="B23" i="29"/>
  <c r="AA16" i="29"/>
  <c r="Z16" i="29"/>
  <c r="Y16" i="29"/>
  <c r="X16" i="29"/>
  <c r="W16" i="29"/>
  <c r="V16" i="29"/>
  <c r="U16" i="29"/>
  <c r="T16" i="29"/>
  <c r="R16" i="29"/>
  <c r="Q16" i="29"/>
  <c r="P16" i="29"/>
  <c r="O16" i="29"/>
  <c r="N16" i="29"/>
  <c r="M16" i="29"/>
  <c r="L16" i="29"/>
  <c r="K16" i="29"/>
  <c r="H16" i="29"/>
  <c r="G16" i="29"/>
  <c r="F16" i="29"/>
  <c r="E16" i="29"/>
  <c r="I15" i="29"/>
  <c r="D15" i="29"/>
  <c r="C15" i="29"/>
  <c r="B15" i="29"/>
  <c r="I14" i="29"/>
  <c r="D14" i="29"/>
  <c r="C14" i="29"/>
  <c r="B14" i="29"/>
  <c r="I13" i="29"/>
  <c r="D13" i="29"/>
  <c r="C13" i="29"/>
  <c r="B13" i="29"/>
  <c r="I12" i="29"/>
  <c r="D12" i="29"/>
  <c r="C12" i="29"/>
  <c r="B12" i="29"/>
  <c r="I11" i="29"/>
  <c r="D11" i="29"/>
  <c r="C11" i="29"/>
  <c r="B11" i="29"/>
  <c r="BA10" i="29"/>
  <c r="AZ10" i="29"/>
  <c r="AY10" i="29"/>
  <c r="AX10" i="29"/>
  <c r="AW10" i="29"/>
  <c r="I10" i="29"/>
  <c r="D10" i="29"/>
  <c r="C10" i="29"/>
  <c r="B10" i="29"/>
  <c r="I9" i="29"/>
  <c r="D9" i="29"/>
  <c r="C9" i="29"/>
  <c r="B9" i="29"/>
  <c r="I8" i="29"/>
  <c r="D8" i="29"/>
  <c r="C8" i="29"/>
  <c r="B8" i="29"/>
  <c r="I7" i="29"/>
  <c r="D7" i="29"/>
  <c r="C7" i="29"/>
  <c r="B7" i="29"/>
  <c r="BA6" i="29"/>
  <c r="AZ6" i="29"/>
  <c r="AY6" i="29"/>
  <c r="AX6" i="29"/>
  <c r="AW6" i="29"/>
  <c r="I6" i="29"/>
  <c r="D6" i="29"/>
  <c r="C6" i="29"/>
  <c r="B6" i="29"/>
  <c r="I5" i="29"/>
  <c r="D5" i="29"/>
  <c r="C5" i="29"/>
  <c r="B5" i="29"/>
  <c r="I4" i="29"/>
  <c r="D4" i="29"/>
  <c r="C4" i="29"/>
  <c r="B4" i="29"/>
  <c r="B37" i="27"/>
  <c r="V30" i="25"/>
  <c r="Y29" i="25"/>
  <c r="V29" i="25"/>
  <c r="Y25" i="25"/>
  <c r="Y24" i="25"/>
  <c r="X22" i="25"/>
  <c r="W22" i="25"/>
  <c r="V22" i="25"/>
  <c r="U22" i="25"/>
  <c r="T22" i="25"/>
  <c r="S22" i="25"/>
  <c r="R22" i="25"/>
  <c r="Q22" i="25"/>
  <c r="P22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G21" i="25"/>
  <c r="Y21" i="25" s="1"/>
  <c r="Y20" i="25"/>
  <c r="Y19" i="25"/>
  <c r="Y18" i="25"/>
  <c r="Y17" i="25"/>
  <c r="Y16" i="25"/>
  <c r="X15" i="25"/>
  <c r="W15" i="25"/>
  <c r="V15" i="25"/>
  <c r="U15" i="25"/>
  <c r="T15" i="25"/>
  <c r="S15" i="25"/>
  <c r="R15" i="25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Y15" i="25" s="1"/>
  <c r="Y14" i="25"/>
  <c r="Y13" i="25"/>
  <c r="Y12" i="25"/>
  <c r="X11" i="25"/>
  <c r="W11" i="25"/>
  <c r="V11" i="25"/>
  <c r="U11" i="25"/>
  <c r="T11" i="25"/>
  <c r="S11" i="25"/>
  <c r="R11" i="25"/>
  <c r="Q11" i="25"/>
  <c r="P11" i="25"/>
  <c r="O11" i="25"/>
  <c r="O23" i="25" s="1"/>
  <c r="O26" i="25" s="1"/>
  <c r="N11" i="25"/>
  <c r="N23" i="25" s="1"/>
  <c r="N26" i="25" s="1"/>
  <c r="M11" i="25"/>
  <c r="L11" i="25"/>
  <c r="K11" i="25"/>
  <c r="J11" i="25"/>
  <c r="I11" i="25"/>
  <c r="H11" i="25"/>
  <c r="G11" i="25"/>
  <c r="F11" i="25"/>
  <c r="E11" i="25"/>
  <c r="D11" i="25"/>
  <c r="C11" i="25"/>
  <c r="C23" i="25" s="1"/>
  <c r="C26" i="25" s="1"/>
  <c r="B11" i="25"/>
  <c r="Y10" i="25"/>
  <c r="Y9" i="25"/>
  <c r="Y8" i="25"/>
  <c r="Y7" i="25"/>
  <c r="X6" i="25"/>
  <c r="W6" i="25"/>
  <c r="V6" i="25"/>
  <c r="V23" i="25" s="1"/>
  <c r="V26" i="25" s="1"/>
  <c r="U6" i="25"/>
  <c r="T6" i="25"/>
  <c r="T23" i="25" s="1"/>
  <c r="T26" i="25" s="1"/>
  <c r="S6" i="25"/>
  <c r="S23" i="25" s="1"/>
  <c r="S26" i="25" s="1"/>
  <c r="R6" i="25"/>
  <c r="R23" i="25" s="1"/>
  <c r="R26" i="25" s="1"/>
  <c r="Q6" i="25"/>
  <c r="Q23" i="25" s="1"/>
  <c r="Q26" i="25" s="1"/>
  <c r="P6" i="25"/>
  <c r="O6" i="25"/>
  <c r="N6" i="25"/>
  <c r="M6" i="25"/>
  <c r="L6" i="25"/>
  <c r="K6" i="25"/>
  <c r="J6" i="25"/>
  <c r="J23" i="25" s="1"/>
  <c r="J26" i="25" s="1"/>
  <c r="I6" i="25"/>
  <c r="H6" i="25"/>
  <c r="H23" i="25" s="1"/>
  <c r="H26" i="25" s="1"/>
  <c r="G6" i="25"/>
  <c r="G23" i="25" s="1"/>
  <c r="G26" i="25" s="1"/>
  <c r="F6" i="25"/>
  <c r="F23" i="25" s="1"/>
  <c r="F26" i="25" s="1"/>
  <c r="E6" i="25"/>
  <c r="E23" i="25" s="1"/>
  <c r="E26" i="25" s="1"/>
  <c r="D6" i="25"/>
  <c r="C6" i="25"/>
  <c r="B6" i="25"/>
  <c r="Y5" i="25"/>
  <c r="Y4" i="25"/>
  <c r="Y3" i="25"/>
  <c r="N25" i="24"/>
  <c r="O25" i="24" s="1"/>
  <c r="N24" i="24"/>
  <c r="M22" i="24"/>
  <c r="L22" i="24"/>
  <c r="K22" i="24"/>
  <c r="J22" i="24"/>
  <c r="I22" i="24"/>
  <c r="H22" i="24"/>
  <c r="G22" i="24"/>
  <c r="F22" i="24"/>
  <c r="E22" i="24"/>
  <c r="C22" i="24"/>
  <c r="B22" i="24"/>
  <c r="D21" i="24"/>
  <c r="D22" i="24" s="1"/>
  <c r="N20" i="24"/>
  <c r="O20" i="24" s="1"/>
  <c r="N19" i="24"/>
  <c r="O19" i="24" s="1"/>
  <c r="N18" i="24"/>
  <c r="N17" i="24"/>
  <c r="N16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N14" i="24"/>
  <c r="N13" i="24"/>
  <c r="N12" i="24"/>
  <c r="M11" i="24"/>
  <c r="L11" i="24"/>
  <c r="L23" i="24" s="1"/>
  <c r="L26" i="24" s="1"/>
  <c r="K11" i="24"/>
  <c r="K23" i="24" s="1"/>
  <c r="K26" i="24" s="1"/>
  <c r="J11" i="24"/>
  <c r="J23" i="24" s="1"/>
  <c r="J26" i="24" s="1"/>
  <c r="I11" i="24"/>
  <c r="I23" i="24" s="1"/>
  <c r="I26" i="24" s="1"/>
  <c r="H11" i="24"/>
  <c r="G11" i="24"/>
  <c r="F11" i="24"/>
  <c r="E11" i="24"/>
  <c r="D11" i="24"/>
  <c r="C11" i="24"/>
  <c r="B11" i="24"/>
  <c r="N10" i="24"/>
  <c r="N9" i="24"/>
  <c r="O9" i="24" s="1"/>
  <c r="N8" i="24"/>
  <c r="O8" i="24" s="1"/>
  <c r="N7" i="24"/>
  <c r="O7" i="24" s="1"/>
  <c r="M6" i="24"/>
  <c r="M23" i="24" s="1"/>
  <c r="M26" i="24" s="1"/>
  <c r="L6" i="24"/>
  <c r="K6" i="24"/>
  <c r="J6" i="24"/>
  <c r="I6" i="24"/>
  <c r="H6" i="24"/>
  <c r="G6" i="24"/>
  <c r="F6" i="24"/>
  <c r="E6" i="24"/>
  <c r="E23" i="24" s="1"/>
  <c r="E26" i="24" s="1"/>
  <c r="D6" i="24"/>
  <c r="D23" i="24" s="1"/>
  <c r="D26" i="24" s="1"/>
  <c r="C6" i="24"/>
  <c r="C23" i="24" s="1"/>
  <c r="C26" i="24" s="1"/>
  <c r="B6" i="24"/>
  <c r="B23" i="24" s="1"/>
  <c r="N5" i="24"/>
  <c r="O5" i="24" s="1"/>
  <c r="N4" i="24"/>
  <c r="O4" i="24" s="1"/>
  <c r="N3" i="24"/>
  <c r="D44" i="23"/>
  <c r="E44" i="23" s="1"/>
  <c r="D43" i="23"/>
  <c r="E43" i="23" s="1"/>
  <c r="D42" i="23"/>
  <c r="E42" i="23" s="1"/>
  <c r="D41" i="23"/>
  <c r="E41" i="23" s="1"/>
  <c r="D40" i="23"/>
  <c r="E40" i="23" s="1"/>
  <c r="D39" i="23"/>
  <c r="E39" i="23" s="1"/>
  <c r="E38" i="23"/>
  <c r="D38" i="23"/>
  <c r="D37" i="23"/>
  <c r="E37" i="23" s="1"/>
  <c r="C36" i="23"/>
  <c r="D36" i="23" s="1"/>
  <c r="E36" i="23" s="1"/>
  <c r="D35" i="23"/>
  <c r="E35" i="23" s="1"/>
  <c r="D34" i="23"/>
  <c r="E34" i="23" s="1"/>
  <c r="D33" i="23"/>
  <c r="E33" i="23" s="1"/>
  <c r="D32" i="23"/>
  <c r="E32" i="23" s="1"/>
  <c r="D31" i="23"/>
  <c r="E31" i="23" s="1"/>
  <c r="D30" i="23"/>
  <c r="E30" i="23" s="1"/>
  <c r="D29" i="23"/>
  <c r="E29" i="23" s="1"/>
  <c r="D28" i="23"/>
  <c r="E28" i="23" s="1"/>
  <c r="D27" i="23"/>
  <c r="E27" i="23" s="1"/>
  <c r="D26" i="23"/>
  <c r="E26" i="23" s="1"/>
  <c r="D25" i="23"/>
  <c r="E25" i="23" s="1"/>
  <c r="B24" i="23"/>
  <c r="D23" i="23"/>
  <c r="E23" i="23" s="1"/>
  <c r="D22" i="23"/>
  <c r="E22" i="23" s="1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B16" i="22"/>
  <c r="Y15" i="22"/>
  <c r="Y14" i="22"/>
  <c r="Y13" i="22"/>
  <c r="Y12" i="22"/>
  <c r="Y11" i="22"/>
  <c r="Y10" i="22"/>
  <c r="Y9" i="22"/>
  <c r="Y8" i="22"/>
  <c r="Y7" i="22"/>
  <c r="Y6" i="22"/>
  <c r="Y5" i="22"/>
  <c r="Y4" i="22"/>
  <c r="G11" i="21"/>
  <c r="F11" i="21"/>
  <c r="E11" i="21"/>
  <c r="D11" i="21"/>
  <c r="C11" i="21"/>
  <c r="B11" i="21"/>
  <c r="J10" i="21"/>
  <c r="W26" i="20"/>
  <c r="Y25" i="20"/>
  <c r="Y24" i="20"/>
  <c r="H10" i="21" s="1"/>
  <c r="U23" i="20"/>
  <c r="U26" i="20" s="1"/>
  <c r="X22" i="20"/>
  <c r="X23" i="20" s="1"/>
  <c r="X26" i="20" s="1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B22" i="20"/>
  <c r="Y21" i="20"/>
  <c r="Y20" i="20"/>
  <c r="Y19" i="20"/>
  <c r="Y18" i="20"/>
  <c r="Y17" i="20"/>
  <c r="Y16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B15" i="20"/>
  <c r="Y14" i="20"/>
  <c r="Y13" i="20"/>
  <c r="Y12" i="20"/>
  <c r="H7" i="21" s="1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B11" i="20"/>
  <c r="Y10" i="20"/>
  <c r="Y9" i="20"/>
  <c r="Y8" i="20"/>
  <c r="Y7" i="20"/>
  <c r="V6" i="20"/>
  <c r="U6" i="20"/>
  <c r="T6" i="20"/>
  <c r="T23" i="20" s="1"/>
  <c r="T26" i="20" s="1"/>
  <c r="S6" i="20"/>
  <c r="S23" i="20" s="1"/>
  <c r="S26" i="20" s="1"/>
  <c r="R6" i="20"/>
  <c r="Q6" i="20"/>
  <c r="Q23" i="20" s="1"/>
  <c r="Q26" i="20" s="1"/>
  <c r="P6" i="20"/>
  <c r="O6" i="20"/>
  <c r="N6" i="20"/>
  <c r="M6" i="20"/>
  <c r="L6" i="20"/>
  <c r="K6" i="20"/>
  <c r="J6" i="20"/>
  <c r="I6" i="20"/>
  <c r="H6" i="20"/>
  <c r="G6" i="20"/>
  <c r="F6" i="20"/>
  <c r="E6" i="20"/>
  <c r="E23" i="20" s="1"/>
  <c r="E26" i="20" s="1"/>
  <c r="D6" i="20"/>
  <c r="C6" i="20"/>
  <c r="B6" i="20"/>
  <c r="Y5" i="20"/>
  <c r="Y4" i="20"/>
  <c r="Y3" i="20"/>
  <c r="H4" i="21" s="1"/>
  <c r="N25" i="19"/>
  <c r="N24" i="19"/>
  <c r="M22" i="19"/>
  <c r="L22" i="19"/>
  <c r="K22" i="19"/>
  <c r="J22" i="19"/>
  <c r="I22" i="19"/>
  <c r="H22" i="19"/>
  <c r="G22" i="19"/>
  <c r="F22" i="19"/>
  <c r="E22" i="19"/>
  <c r="D22" i="19"/>
  <c r="C22" i="19"/>
  <c r="B22" i="19"/>
  <c r="N21" i="19"/>
  <c r="N20" i="19"/>
  <c r="N19" i="19"/>
  <c r="N18" i="19"/>
  <c r="N17" i="19"/>
  <c r="N16" i="19"/>
  <c r="M15" i="19"/>
  <c r="L15" i="19"/>
  <c r="K15" i="19"/>
  <c r="J15" i="19"/>
  <c r="I15" i="19"/>
  <c r="H15" i="19"/>
  <c r="G15" i="19"/>
  <c r="F15" i="19"/>
  <c r="E15" i="19"/>
  <c r="D15" i="19"/>
  <c r="C15" i="19"/>
  <c r="B15" i="19"/>
  <c r="N14" i="19"/>
  <c r="N13" i="19"/>
  <c r="N12" i="19"/>
  <c r="M11" i="19"/>
  <c r="L11" i="19"/>
  <c r="K11" i="19"/>
  <c r="J11" i="19"/>
  <c r="J23" i="19" s="1"/>
  <c r="J26" i="19" s="1"/>
  <c r="J30" i="19" s="1"/>
  <c r="I11" i="19"/>
  <c r="H11" i="19"/>
  <c r="H23" i="19" s="1"/>
  <c r="H26" i="19" s="1"/>
  <c r="H30" i="19" s="1"/>
  <c r="G11" i="19"/>
  <c r="F11" i="19"/>
  <c r="E11" i="19"/>
  <c r="D11" i="19"/>
  <c r="C11" i="19"/>
  <c r="B11" i="19"/>
  <c r="N10" i="19"/>
  <c r="N9" i="19"/>
  <c r="N8" i="19"/>
  <c r="N7" i="19"/>
  <c r="M6" i="19"/>
  <c r="L6" i="19"/>
  <c r="K6" i="19"/>
  <c r="J6" i="19"/>
  <c r="I6" i="19"/>
  <c r="H6" i="19"/>
  <c r="G6" i="19"/>
  <c r="F6" i="19"/>
  <c r="E6" i="19"/>
  <c r="D6" i="19"/>
  <c r="C6" i="19"/>
  <c r="C23" i="19" s="1"/>
  <c r="C26" i="19" s="1"/>
  <c r="C30" i="19" s="1"/>
  <c r="B6" i="19"/>
  <c r="B23" i="19" s="1"/>
  <c r="N5" i="19"/>
  <c r="N4" i="19"/>
  <c r="N3" i="19"/>
  <c r="C45" i="18"/>
  <c r="D45" i="18" s="1"/>
  <c r="E45" i="18" s="1"/>
  <c r="D44" i="18"/>
  <c r="E44" i="18" s="1"/>
  <c r="D43" i="18"/>
  <c r="E43" i="18" s="1"/>
  <c r="D42" i="18"/>
  <c r="E42" i="18" s="1"/>
  <c r="E41" i="18"/>
  <c r="D41" i="18"/>
  <c r="D40" i="18"/>
  <c r="E40" i="18" s="1"/>
  <c r="D39" i="18"/>
  <c r="E39" i="18" s="1"/>
  <c r="D38" i="18"/>
  <c r="E38" i="18" s="1"/>
  <c r="E37" i="18"/>
  <c r="D37" i="18"/>
  <c r="E36" i="18"/>
  <c r="D36" i="18"/>
  <c r="E35" i="18"/>
  <c r="D35" i="18"/>
  <c r="D34" i="18"/>
  <c r="E34" i="18" s="1"/>
  <c r="D33" i="18"/>
  <c r="E33" i="18" s="1"/>
  <c r="D32" i="18"/>
  <c r="E32" i="18" s="1"/>
  <c r="D31" i="18"/>
  <c r="E31" i="18" s="1"/>
  <c r="E30" i="18"/>
  <c r="D30" i="18"/>
  <c r="E29" i="18"/>
  <c r="D29" i="18"/>
  <c r="D28" i="18"/>
  <c r="E28" i="18" s="1"/>
  <c r="D27" i="18"/>
  <c r="E27" i="18" s="1"/>
  <c r="D26" i="18"/>
  <c r="E26" i="18" s="1"/>
  <c r="D25" i="18"/>
  <c r="E25" i="18" s="1"/>
  <c r="E24" i="18"/>
  <c r="D24" i="18"/>
  <c r="D23" i="18"/>
  <c r="E23" i="18" s="1"/>
  <c r="D22" i="18"/>
  <c r="E22" i="18" s="1"/>
  <c r="AD18" i="17"/>
  <c r="X15" i="17"/>
  <c r="W15" i="17"/>
  <c r="V15" i="17"/>
  <c r="U15" i="17"/>
  <c r="T15" i="17"/>
  <c r="S15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Y14" i="17"/>
  <c r="Y13" i="17"/>
  <c r="Y12" i="17"/>
  <c r="Y11" i="17"/>
  <c r="Y10" i="17"/>
  <c r="Y9" i="17"/>
  <c r="Y8" i="17"/>
  <c r="Y7" i="17"/>
  <c r="Y6" i="17"/>
  <c r="Y5" i="17"/>
  <c r="Y4" i="17"/>
  <c r="Y3" i="17"/>
  <c r="C44" i="16"/>
  <c r="D44" i="16" s="1"/>
  <c r="E44" i="16" s="1"/>
  <c r="D43" i="16"/>
  <c r="E43" i="16" s="1"/>
  <c r="D42" i="16"/>
  <c r="E42" i="16" s="1"/>
  <c r="D41" i="16"/>
  <c r="E41" i="16" s="1"/>
  <c r="D40" i="16"/>
  <c r="E40" i="16" s="1"/>
  <c r="D39" i="16"/>
  <c r="E39" i="16" s="1"/>
  <c r="D38" i="16"/>
  <c r="E38" i="16" s="1"/>
  <c r="D37" i="16"/>
  <c r="E37" i="16" s="1"/>
  <c r="D36" i="16"/>
  <c r="E36" i="16" s="1"/>
  <c r="D35" i="16"/>
  <c r="E35" i="16" s="1"/>
  <c r="D34" i="16"/>
  <c r="E34" i="16" s="1"/>
  <c r="D33" i="16"/>
  <c r="E33" i="16" s="1"/>
  <c r="D32" i="16"/>
  <c r="E32" i="16" s="1"/>
  <c r="D31" i="16"/>
  <c r="E31" i="16" s="1"/>
  <c r="D30" i="16"/>
  <c r="E30" i="16" s="1"/>
  <c r="D29" i="16"/>
  <c r="E29" i="16" s="1"/>
  <c r="D28" i="16"/>
  <c r="E28" i="16" s="1"/>
  <c r="D27" i="16"/>
  <c r="E27" i="16" s="1"/>
  <c r="D26" i="16"/>
  <c r="E26" i="16" s="1"/>
  <c r="D25" i="16"/>
  <c r="E25" i="16" s="1"/>
  <c r="D24" i="16"/>
  <c r="E24" i="16" s="1"/>
  <c r="E23" i="16"/>
  <c r="D23" i="16"/>
  <c r="D22" i="16"/>
  <c r="E22" i="16" s="1"/>
  <c r="D21" i="16"/>
  <c r="E21" i="16" s="1"/>
  <c r="T56" i="15"/>
  <c r="S56" i="15"/>
  <c r="S48" i="15"/>
  <c r="S40" i="15"/>
  <c r="R40" i="15"/>
  <c r="AB37" i="15"/>
  <c r="AA37" i="15"/>
  <c r="R37" i="15"/>
  <c r="H37" i="15"/>
  <c r="AA36" i="15"/>
  <c r="AD36" i="15" s="1"/>
  <c r="Q36" i="15"/>
  <c r="Q37" i="15" s="1"/>
  <c r="G36" i="15"/>
  <c r="G37" i="15" s="1"/>
  <c r="J35" i="15"/>
  <c r="I35" i="15"/>
  <c r="AD34" i="15"/>
  <c r="AC34" i="15"/>
  <c r="T34" i="15"/>
  <c r="S34" i="15"/>
  <c r="M34" i="15"/>
  <c r="O34" i="15" s="1"/>
  <c r="L34" i="15"/>
  <c r="J34" i="15"/>
  <c r="I34" i="15"/>
  <c r="C34" i="15"/>
  <c r="B34" i="15"/>
  <c r="AD33" i="15"/>
  <c r="AC33" i="15"/>
  <c r="Y33" i="15"/>
  <c r="X33" i="15"/>
  <c r="T33" i="15"/>
  <c r="S33" i="15"/>
  <c r="O33" i="15"/>
  <c r="N33" i="15"/>
  <c r="J33" i="15"/>
  <c r="I33" i="15"/>
  <c r="E33" i="15"/>
  <c r="D33" i="15"/>
  <c r="AD32" i="15"/>
  <c r="AC32" i="15"/>
  <c r="Y32" i="15"/>
  <c r="X32" i="15"/>
  <c r="T32" i="15"/>
  <c r="S32" i="15"/>
  <c r="O32" i="15"/>
  <c r="N32" i="15"/>
  <c r="J32" i="15"/>
  <c r="I32" i="15"/>
  <c r="E32" i="15"/>
  <c r="D32" i="15"/>
  <c r="AD31" i="15"/>
  <c r="AC31" i="15"/>
  <c r="Y31" i="15"/>
  <c r="X31" i="15"/>
  <c r="T31" i="15"/>
  <c r="S31" i="15"/>
  <c r="O31" i="15"/>
  <c r="N31" i="15"/>
  <c r="J31" i="15"/>
  <c r="I31" i="15"/>
  <c r="E31" i="15"/>
  <c r="D31" i="15"/>
  <c r="AD30" i="15"/>
  <c r="AC30" i="15"/>
  <c r="Y30" i="15"/>
  <c r="X30" i="15"/>
  <c r="T30" i="15"/>
  <c r="S30" i="15"/>
  <c r="O30" i="15"/>
  <c r="N30" i="15"/>
  <c r="J30" i="15"/>
  <c r="I30" i="15"/>
  <c r="E30" i="15"/>
  <c r="D30" i="15"/>
  <c r="AD29" i="15"/>
  <c r="AC29" i="15"/>
  <c r="Y29" i="15"/>
  <c r="W29" i="15"/>
  <c r="W34" i="15" s="1"/>
  <c r="T29" i="15"/>
  <c r="S29" i="15"/>
  <c r="O29" i="15"/>
  <c r="N29" i="15"/>
  <c r="J29" i="15"/>
  <c r="I29" i="15"/>
  <c r="E29" i="15"/>
  <c r="D29" i="15"/>
  <c r="AH28" i="15"/>
  <c r="AH30" i="15" s="1"/>
  <c r="AD28" i="15"/>
  <c r="AC28" i="15"/>
  <c r="Y28" i="15"/>
  <c r="X28" i="15"/>
  <c r="T28" i="15"/>
  <c r="S28" i="15"/>
  <c r="O28" i="15"/>
  <c r="N28" i="15"/>
  <c r="J28" i="15"/>
  <c r="I28" i="15"/>
  <c r="E28" i="15"/>
  <c r="D28" i="15"/>
  <c r="AD27" i="15"/>
  <c r="AC27" i="15"/>
  <c r="Y27" i="15"/>
  <c r="X27" i="15"/>
  <c r="T27" i="15"/>
  <c r="S27" i="15"/>
  <c r="O27" i="15"/>
  <c r="N27" i="15"/>
  <c r="J27" i="15"/>
  <c r="I27" i="15"/>
  <c r="E27" i="15"/>
  <c r="D27" i="15"/>
  <c r="AD26" i="15"/>
  <c r="AC26" i="15"/>
  <c r="Y26" i="15"/>
  <c r="X26" i="15"/>
  <c r="T26" i="15"/>
  <c r="S26" i="15"/>
  <c r="O26" i="15"/>
  <c r="N26" i="15"/>
  <c r="J26" i="15"/>
  <c r="I26" i="15"/>
  <c r="E26" i="15"/>
  <c r="D26" i="15"/>
  <c r="AD25" i="15"/>
  <c r="AC25" i="15"/>
  <c r="Y25" i="15"/>
  <c r="X25" i="15"/>
  <c r="T25" i="15"/>
  <c r="S25" i="15"/>
  <c r="O25" i="15"/>
  <c r="N25" i="15"/>
  <c r="J25" i="15"/>
  <c r="I25" i="15"/>
  <c r="E25" i="15"/>
  <c r="D25" i="15"/>
  <c r="AL15" i="15"/>
  <c r="P31" i="14"/>
  <c r="P30" i="14"/>
  <c r="O30" i="14"/>
  <c r="P29" i="14"/>
  <c r="P28" i="14"/>
  <c r="P27" i="14"/>
  <c r="P26" i="14"/>
  <c r="P25" i="14"/>
  <c r="P24" i="14"/>
  <c r="P23" i="14"/>
  <c r="P22" i="14"/>
  <c r="P21" i="14"/>
  <c r="P20" i="14"/>
  <c r="L16" i="14"/>
  <c r="L15" i="14"/>
  <c r="F15" i="14"/>
  <c r="L14" i="14"/>
  <c r="L13" i="14"/>
  <c r="L12" i="14"/>
  <c r="L11" i="14"/>
  <c r="L10" i="14"/>
  <c r="L9" i="14"/>
  <c r="L8" i="14"/>
  <c r="L7" i="14"/>
  <c r="L6" i="14"/>
  <c r="L5" i="14"/>
  <c r="L4" i="14"/>
  <c r="G53" i="13"/>
  <c r="F53" i="13"/>
  <c r="D53" i="13"/>
  <c r="C53" i="13"/>
  <c r="H52" i="13"/>
  <c r="H53" i="13" s="1"/>
  <c r="E52" i="13"/>
  <c r="E53" i="13" s="1"/>
  <c r="I51" i="13"/>
  <c r="H51" i="13"/>
  <c r="E51" i="13"/>
  <c r="H50" i="13"/>
  <c r="E50" i="13"/>
  <c r="G48" i="13"/>
  <c r="F48" i="13"/>
  <c r="E48" i="13"/>
  <c r="D48" i="13"/>
  <c r="C48" i="13"/>
  <c r="H47" i="13"/>
  <c r="W38" i="15" s="1"/>
  <c r="E47" i="13"/>
  <c r="H46" i="13"/>
  <c r="E46" i="13"/>
  <c r="H45" i="13"/>
  <c r="I45" i="13" s="1"/>
  <c r="E45" i="13"/>
  <c r="G42" i="13"/>
  <c r="F42" i="13"/>
  <c r="D42" i="13"/>
  <c r="D43" i="13" s="1"/>
  <c r="C42" i="13"/>
  <c r="C43" i="13" s="1"/>
  <c r="G41" i="13"/>
  <c r="F41" i="13"/>
  <c r="H41" i="13" s="1"/>
  <c r="D41" i="13"/>
  <c r="C41" i="13"/>
  <c r="G40" i="13"/>
  <c r="F40" i="13"/>
  <c r="D40" i="13"/>
  <c r="C40" i="13"/>
  <c r="E40" i="13" s="1"/>
  <c r="H39" i="13"/>
  <c r="E39" i="13"/>
  <c r="I39" i="13" s="1"/>
  <c r="H38" i="13"/>
  <c r="E38" i="13"/>
  <c r="H37" i="13"/>
  <c r="I37" i="13" s="1"/>
  <c r="E37" i="13"/>
  <c r="H33" i="13"/>
  <c r="E33" i="13"/>
  <c r="H32" i="13"/>
  <c r="E32" i="13"/>
  <c r="O31" i="13"/>
  <c r="H31" i="13"/>
  <c r="E31" i="13"/>
  <c r="H30" i="13"/>
  <c r="E30" i="13"/>
  <c r="H29" i="13"/>
  <c r="I29" i="13" s="1"/>
  <c r="E29" i="13"/>
  <c r="H28" i="13"/>
  <c r="E28" i="13"/>
  <c r="H27" i="13"/>
  <c r="E27" i="13"/>
  <c r="H26" i="13"/>
  <c r="E26" i="13"/>
  <c r="H25" i="13"/>
  <c r="I25" i="13" s="1"/>
  <c r="E25" i="13"/>
  <c r="H24" i="13"/>
  <c r="E24" i="13"/>
  <c r="H23" i="13"/>
  <c r="I23" i="13" s="1"/>
  <c r="E23" i="13"/>
  <c r="H22" i="13"/>
  <c r="I22" i="13" s="1"/>
  <c r="E22" i="13"/>
  <c r="H21" i="13"/>
  <c r="I21" i="13" s="1"/>
  <c r="E21" i="13"/>
  <c r="H20" i="13"/>
  <c r="E20" i="13"/>
  <c r="H19" i="13"/>
  <c r="E19" i="13"/>
  <c r="I18" i="13"/>
  <c r="H18" i="13"/>
  <c r="E18" i="13"/>
  <c r="I17" i="13"/>
  <c r="H17" i="13"/>
  <c r="E17" i="13"/>
  <c r="H16" i="13"/>
  <c r="E16" i="13"/>
  <c r="H15" i="13"/>
  <c r="E15" i="13"/>
  <c r="H14" i="13"/>
  <c r="E14" i="13"/>
  <c r="J13" i="13"/>
  <c r="I13" i="13"/>
  <c r="H13" i="13"/>
  <c r="E13" i="13"/>
  <c r="H12" i="13"/>
  <c r="I12" i="13" s="1"/>
  <c r="E12" i="13"/>
  <c r="H11" i="13"/>
  <c r="E11" i="13"/>
  <c r="H10" i="13"/>
  <c r="E10" i="13"/>
  <c r="H9" i="13"/>
  <c r="I9" i="13" s="1"/>
  <c r="E9" i="13"/>
  <c r="H8" i="13"/>
  <c r="I8" i="13" s="1"/>
  <c r="E8" i="13"/>
  <c r="H7" i="13"/>
  <c r="I7" i="13" s="1"/>
  <c r="E7" i="13"/>
  <c r="H6" i="13"/>
  <c r="E6" i="13"/>
  <c r="H5" i="13"/>
  <c r="I5" i="13" s="1"/>
  <c r="E5" i="13"/>
  <c r="H4" i="13"/>
  <c r="E4" i="13"/>
  <c r="D17" i="12"/>
  <c r="E12" i="12"/>
  <c r="D12" i="12"/>
  <c r="C12" i="12"/>
  <c r="E11" i="12"/>
  <c r="F10" i="12"/>
  <c r="E10" i="12"/>
  <c r="D9" i="12"/>
  <c r="F9" i="12" s="1"/>
  <c r="C9" i="12"/>
  <c r="C13" i="12" s="1"/>
  <c r="E8" i="12"/>
  <c r="F7" i="12"/>
  <c r="E7" i="12"/>
  <c r="D6" i="12"/>
  <c r="C6" i="12"/>
  <c r="E5" i="12"/>
  <c r="F4" i="12"/>
  <c r="E4" i="12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AG14" i="9"/>
  <c r="AA14" i="9"/>
  <c r="AG13" i="9"/>
  <c r="AA13" i="9"/>
  <c r="AG12" i="9"/>
  <c r="AA12" i="9"/>
  <c r="AG11" i="9"/>
  <c r="AA11" i="9"/>
  <c r="AG10" i="9"/>
  <c r="AA10" i="9"/>
  <c r="AG9" i="9"/>
  <c r="AA9" i="9"/>
  <c r="AW8" i="9"/>
  <c r="AV8" i="9"/>
  <c r="AU8" i="9"/>
  <c r="AT8" i="9"/>
  <c r="AS8" i="9"/>
  <c r="AR8" i="9"/>
  <c r="AQ8" i="9"/>
  <c r="AP8" i="9"/>
  <c r="AO8" i="9"/>
  <c r="AN8" i="9"/>
  <c r="AM8" i="9"/>
  <c r="AL8" i="9"/>
  <c r="AK8" i="9"/>
  <c r="AJ8" i="9"/>
  <c r="AI8" i="9"/>
  <c r="AG8" i="9"/>
  <c r="AA8" i="9"/>
  <c r="AG7" i="9"/>
  <c r="AA7" i="9"/>
  <c r="AG6" i="9"/>
  <c r="AG5" i="9"/>
  <c r="AG4" i="9"/>
  <c r="AB4" i="9"/>
  <c r="AA4" i="9"/>
  <c r="AG3" i="9"/>
  <c r="AA3" i="9"/>
  <c r="AG2" i="9"/>
  <c r="H32" i="8"/>
  <c r="H33" i="8" s="1"/>
  <c r="O19" i="8"/>
  <c r="N19" i="8"/>
  <c r="M19" i="8"/>
  <c r="L19" i="8"/>
  <c r="K19" i="8"/>
  <c r="J19" i="8"/>
  <c r="I19" i="8"/>
  <c r="H19" i="8"/>
  <c r="G19" i="8"/>
  <c r="F19" i="8"/>
  <c r="E19" i="8"/>
  <c r="D19" i="8"/>
  <c r="P18" i="8"/>
  <c r="P19" i="8" s="1"/>
  <c r="P15" i="8"/>
  <c r="Q15" i="8" s="1"/>
  <c r="P14" i="8"/>
  <c r="P13" i="8"/>
  <c r="AB9" i="9" s="1"/>
  <c r="O12" i="8"/>
  <c r="N12" i="8"/>
  <c r="M12" i="8"/>
  <c r="L12" i="8"/>
  <c r="K12" i="8"/>
  <c r="J12" i="8"/>
  <c r="I12" i="8"/>
  <c r="H12" i="8"/>
  <c r="G12" i="8"/>
  <c r="F12" i="8"/>
  <c r="E12" i="8"/>
  <c r="D12" i="8"/>
  <c r="S11" i="8"/>
  <c r="S12" i="8" s="1"/>
  <c r="P11" i="8"/>
  <c r="P10" i="8"/>
  <c r="S5" i="8"/>
  <c r="S4" i="8"/>
  <c r="R4" i="8"/>
  <c r="L23" i="7"/>
  <c r="N21" i="7"/>
  <c r="N20" i="7"/>
  <c r="N19" i="7"/>
  <c r="L18" i="7"/>
  <c r="N16" i="7"/>
  <c r="M16" i="7"/>
  <c r="N15" i="7"/>
  <c r="M15" i="7"/>
  <c r="N14" i="7"/>
  <c r="M14" i="7"/>
  <c r="N13" i="7"/>
  <c r="M13" i="7"/>
  <c r="M18" i="7" s="1"/>
  <c r="I20" i="13" l="1"/>
  <c r="I11" i="13"/>
  <c r="I16" i="13"/>
  <c r="I26" i="13"/>
  <c r="G43" i="13"/>
  <c r="S37" i="15"/>
  <c r="D23" i="20"/>
  <c r="D26" i="20" s="1"/>
  <c r="P23" i="20"/>
  <c r="P26" i="20" s="1"/>
  <c r="H23" i="24"/>
  <c r="H26" i="24" s="1"/>
  <c r="I41" i="13"/>
  <c r="I24" i="13"/>
  <c r="I47" i="13"/>
  <c r="I10" i="13"/>
  <c r="I6" i="13"/>
  <c r="I32" i="13"/>
  <c r="H48" i="13"/>
  <c r="I48" i="13" s="1"/>
  <c r="I30" i="13"/>
  <c r="E42" i="13"/>
  <c r="E43" i="13" s="1"/>
  <c r="H40" i="13"/>
  <c r="I40" i="13" s="1"/>
  <c r="AD37" i="15"/>
  <c r="M23" i="19"/>
  <c r="M26" i="19" s="1"/>
  <c r="M30" i="19" s="1"/>
  <c r="F6" i="12"/>
  <c r="P32" i="14"/>
  <c r="D23" i="25"/>
  <c r="D26" i="25" s="1"/>
  <c r="P23" i="25"/>
  <c r="P26" i="25" s="1"/>
  <c r="E6" i="12"/>
  <c r="I28" i="13"/>
  <c r="I33" i="13"/>
  <c r="E41" i="13"/>
  <c r="I46" i="13"/>
  <c r="K23" i="19"/>
  <c r="K26" i="19" s="1"/>
  <c r="K30" i="19" s="1"/>
  <c r="Q13" i="8"/>
  <c r="D13" i="12"/>
  <c r="E13" i="12" s="1"/>
  <c r="L23" i="19"/>
  <c r="L26" i="19" s="1"/>
  <c r="L30" i="19" s="1"/>
  <c r="F23" i="24"/>
  <c r="F26" i="24" s="1"/>
  <c r="O10" i="24"/>
  <c r="I23" i="25"/>
  <c r="I26" i="25" s="1"/>
  <c r="U23" i="25"/>
  <c r="U26" i="25" s="1"/>
  <c r="Y15" i="17"/>
  <c r="E23" i="19"/>
  <c r="E26" i="19" s="1"/>
  <c r="E30" i="19" s="1"/>
  <c r="G23" i="24"/>
  <c r="G26" i="24" s="1"/>
  <c r="O12" i="24"/>
  <c r="C38" i="15"/>
  <c r="J23" i="20"/>
  <c r="J26" i="20" s="1"/>
  <c r="F23" i="20"/>
  <c r="F26" i="20" s="1"/>
  <c r="R23" i="20"/>
  <c r="R26" i="20" s="1"/>
  <c r="Y16" i="22"/>
  <c r="O13" i="24"/>
  <c r="K23" i="25"/>
  <c r="K26" i="25" s="1"/>
  <c r="I16" i="29"/>
  <c r="I4" i="13"/>
  <c r="I14" i="13"/>
  <c r="I38" i="13"/>
  <c r="Y15" i="20"/>
  <c r="H8" i="21" s="1"/>
  <c r="V23" i="20"/>
  <c r="V26" i="20" s="1"/>
  <c r="G23" i="20"/>
  <c r="G26" i="20" s="1"/>
  <c r="O14" i="24"/>
  <c r="I37" i="15"/>
  <c r="M23" i="20"/>
  <c r="M26" i="20" s="1"/>
  <c r="Y11" i="20"/>
  <c r="H6" i="21" s="1"/>
  <c r="H23" i="20"/>
  <c r="H26" i="20" s="1"/>
  <c r="C45" i="23"/>
  <c r="O16" i="24"/>
  <c r="J37" i="15"/>
  <c r="N23" i="20"/>
  <c r="N26" i="20" s="1"/>
  <c r="I23" i="20"/>
  <c r="I26" i="20" s="1"/>
  <c r="O3" i="24"/>
  <c r="O17" i="24"/>
  <c r="O24" i="24"/>
  <c r="B44" i="29"/>
  <c r="N22" i="19"/>
  <c r="C23" i="20"/>
  <c r="C26" i="20" s="1"/>
  <c r="O23" i="20"/>
  <c r="O26" i="20" s="1"/>
  <c r="O18" i="24"/>
  <c r="C44" i="29"/>
  <c r="AC9" i="9"/>
  <c r="AB7" i="9"/>
  <c r="AB8" i="9"/>
  <c r="C16" i="29"/>
  <c r="N18" i="7"/>
  <c r="Q10" i="8"/>
  <c r="Q14" i="8"/>
  <c r="F43" i="13"/>
  <c r="H42" i="13"/>
  <c r="L23" i="20"/>
  <c r="L26" i="20" s="1"/>
  <c r="K23" i="20"/>
  <c r="K26" i="20" s="1"/>
  <c r="Y11" i="25"/>
  <c r="D16" i="29"/>
  <c r="AA15" i="9"/>
  <c r="I36" i="15"/>
  <c r="D23" i="19"/>
  <c r="D26" i="19" s="1"/>
  <c r="D30" i="19" s="1"/>
  <c r="N11" i="24"/>
  <c r="O11" i="24" s="1"/>
  <c r="N22" i="24"/>
  <c r="F12" i="12"/>
  <c r="I52" i="13"/>
  <c r="I15" i="13"/>
  <c r="E9" i="12"/>
  <c r="I31" i="13"/>
  <c r="T36" i="15"/>
  <c r="S36" i="15"/>
  <c r="F23" i="19"/>
  <c r="F26" i="19" s="1"/>
  <c r="F30" i="19" s="1"/>
  <c r="N11" i="19"/>
  <c r="M23" i="25"/>
  <c r="M26" i="25" s="1"/>
  <c r="Y22" i="25"/>
  <c r="G23" i="19"/>
  <c r="G26" i="19" s="1"/>
  <c r="G30" i="19" s="1"/>
  <c r="AB10" i="9"/>
  <c r="T37" i="15"/>
  <c r="J36" i="15"/>
  <c r="X23" i="25"/>
  <c r="X26" i="25" s="1"/>
  <c r="B23" i="25"/>
  <c r="N34" i="15"/>
  <c r="I27" i="13"/>
  <c r="X34" i="15"/>
  <c r="Y34" i="15"/>
  <c r="B16" i="29"/>
  <c r="I19" i="13"/>
  <c r="I53" i="13"/>
  <c r="Y6" i="20"/>
  <c r="H5" i="21" s="1"/>
  <c r="B23" i="20"/>
  <c r="I23" i="19"/>
  <c r="I26" i="19" s="1"/>
  <c r="I30" i="19" s="1"/>
  <c r="AB11" i="9"/>
  <c r="B26" i="19"/>
  <c r="L23" i="25"/>
  <c r="L26" i="25" s="1"/>
  <c r="P12" i="8"/>
  <c r="X29" i="15"/>
  <c r="N15" i="19"/>
  <c r="Y22" i="20"/>
  <c r="H9" i="21" s="1"/>
  <c r="D24" i="23"/>
  <c r="E24" i="23" s="1"/>
  <c r="B45" i="23"/>
  <c r="D45" i="23" s="1"/>
  <c r="N23" i="24"/>
  <c r="B26" i="24"/>
  <c r="N26" i="24" s="1"/>
  <c r="N6" i="24"/>
  <c r="N15" i="24"/>
  <c r="O15" i="24" s="1"/>
  <c r="Y6" i="25"/>
  <c r="N6" i="19"/>
  <c r="N21" i="24"/>
  <c r="O21" i="24" s="1"/>
  <c r="Q11" i="8"/>
  <c r="I50" i="13"/>
  <c r="D34" i="15"/>
  <c r="AC36" i="15"/>
  <c r="AC37" i="15"/>
  <c r="W23" i="25"/>
  <c r="W26" i="25" s="1"/>
  <c r="E34" i="15"/>
  <c r="H11" i="21" l="1"/>
  <c r="O22" i="24"/>
  <c r="D47" i="23"/>
  <c r="E45" i="23"/>
  <c r="N23" i="19"/>
  <c r="Y23" i="20"/>
  <c r="B26" i="20"/>
  <c r="Y26" i="20" s="1"/>
  <c r="Y23" i="25"/>
  <c r="O23" i="24" s="1"/>
  <c r="B26" i="25"/>
  <c r="Y26" i="25" s="1"/>
  <c r="Y30" i="25" s="1"/>
  <c r="O6" i="24"/>
  <c r="B30" i="19"/>
  <c r="N26" i="19"/>
  <c r="N30" i="19" s="1"/>
  <c r="I42" i="13"/>
  <c r="H43" i="13"/>
  <c r="I43" i="13" s="1"/>
  <c r="AB40" i="15"/>
  <c r="O26" i="24" l="1"/>
  <c r="H15" i="5" l="1"/>
  <c r="G15" i="5"/>
  <c r="C15" i="4" l="1"/>
  <c r="A15" i="4"/>
  <c r="C37" i="27" l="1"/>
  <c r="D37" i="27" s="1"/>
  <c r="E37" i="27" s="1"/>
  <c r="D23" i="27"/>
  <c r="E23" i="27" s="1"/>
  <c r="C36" i="27"/>
  <c r="D36" i="27" s="1"/>
  <c r="D31" i="27"/>
  <c r="E31" i="27" s="1"/>
  <c r="D27" i="27"/>
  <c r="E27" i="27" s="1"/>
  <c r="D34" i="27"/>
  <c r="E34" i="27" s="1"/>
  <c r="D30" i="27"/>
  <c r="E30" i="27" s="1"/>
  <c r="D26" i="27"/>
  <c r="E26" i="27" s="1"/>
  <c r="D33" i="27"/>
  <c r="E33" i="27" s="1"/>
  <c r="D29" i="27"/>
  <c r="E29" i="27" s="1"/>
  <c r="D25" i="27"/>
  <c r="E25" i="27" s="1"/>
  <c r="D32" i="27"/>
  <c r="E32" i="27" s="1"/>
  <c r="D28" i="27"/>
  <c r="E28" i="27" s="1"/>
  <c r="D24" i="27"/>
  <c r="E24" i="2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2" authorId="0" shapeId="0" xr:uid="{00000000-0006-0000-33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آخرین روز اسفند</t>
        </r>
      </text>
    </comment>
    <comment ref="R3" authorId="0" shapeId="0" xr:uid="{00000000-0006-0000-3300-000002000000}">
      <text>
        <r>
          <rPr>
            <b/>
            <sz val="9"/>
            <color indexed="81"/>
            <rFont val="Tahoma"/>
            <charset val="178"/>
          </rPr>
          <t>Author:</t>
        </r>
        <r>
          <rPr>
            <sz val="9"/>
            <color indexed="81"/>
            <rFont val="Tahoma"/>
            <charset val="178"/>
          </rPr>
          <t xml:space="preserve">
'گزارش کیلومتراژ
جدول لکوموتیو روز/ مسافت</t>
        </r>
      </text>
    </comment>
  </commentList>
</comments>
</file>

<file path=xl/sharedStrings.xml><?xml version="1.0" encoding="utf-8"?>
<sst xmlns="http://schemas.openxmlformats.org/spreadsheetml/2006/main" count="6401" uniqueCount="1941">
  <si>
    <t xml:space="preserve">جدول شماره 86 - ميزان اعتبار و پرداختی طرحهای تملک داراییهای سرمایه ای در سال1403 </t>
  </si>
  <si>
    <t>(ارقام به ميليون ريال)</t>
  </si>
  <si>
    <t>عنوان طرح</t>
  </si>
  <si>
    <t>اعتبار ابلاغی</t>
  </si>
  <si>
    <t xml:space="preserve"> عملکرد</t>
  </si>
  <si>
    <t>درصد عملکرد به اعتبار ابلاغی</t>
  </si>
  <si>
    <t>درصد عملکرد به اعتبار اصلاحی</t>
  </si>
  <si>
    <t xml:space="preserve">منابع نقدي </t>
  </si>
  <si>
    <t>منابع غيرنقدي</t>
  </si>
  <si>
    <t xml:space="preserve"> جمع کل </t>
  </si>
  <si>
    <t>بهسازي و نوسازي علائم و ارتباطات</t>
  </si>
  <si>
    <t>رفع گلوگاههاي ظرفيتي خطوط راه آهن</t>
  </si>
  <si>
    <t>بهسازي ناوگان راه آهن</t>
  </si>
  <si>
    <t xml:space="preserve">بهسازی و نوسازی ایستگاههای راه آهن  </t>
  </si>
  <si>
    <t>بهسازي ، نوسازي و نگهداري خطوط راه آهن</t>
  </si>
  <si>
    <t>احداث قطار حومه اي تهران ـ ورامين ـ پيشوا ـ گرمسار</t>
  </si>
  <si>
    <t>احداث خط دوم راه آهن تهران ـ ميانه ـ تبريز</t>
  </si>
  <si>
    <t>راه آهن سريع السير تهران ـ قم ـ اصفهان و قم ـ اراك</t>
  </si>
  <si>
    <t>احداث راه آهن شيراز ـ اصفهان</t>
  </si>
  <si>
    <t>احداث راه آهن كرمان ـ زاهدان</t>
  </si>
  <si>
    <t>برقي كردن راه آهن گرمسار ـ گرگان ـ اينچه برون</t>
  </si>
  <si>
    <t>برقي كردن راه آهن تهران - مشهد</t>
  </si>
  <si>
    <t>توسعه حمل و نقل با راه آهن- بهينه سازي مصرف انرژي</t>
  </si>
  <si>
    <t xml:space="preserve">كمكهاي فني و اعتباري حمل و نقل راه آهن </t>
  </si>
  <si>
    <t xml:space="preserve">مطالعه و اجراي مقاوم سازي شريان حياتي شبكه راه آهن كشور </t>
  </si>
  <si>
    <t>-</t>
  </si>
  <si>
    <t>افزايش ظرفيت حمل مسافر</t>
  </si>
  <si>
    <t>احداث راه آهن  سيرجان ـ  كرمان</t>
  </si>
  <si>
    <t>احداث خط دوم وافزايش ظرفيت ورفع گلوگاههاي ظرفيتي مجوربافق- سنگان</t>
  </si>
  <si>
    <t>مطالعه خط ریلی جلفا ـ چشمه ثریا</t>
  </si>
  <si>
    <t>مطالعه خط ریلی جدید زاهدان ـ میرجاوه</t>
  </si>
  <si>
    <t xml:space="preserve">کمک به احداث راه آهن شلمچه ـ بصره </t>
  </si>
  <si>
    <r>
      <t xml:space="preserve">مطالعه راه آهن غرب بندرعباس </t>
    </r>
    <r>
      <rPr>
        <b/>
        <sz val="10"/>
        <color rgb="FFFF0000"/>
        <rFont val="B Nazanin"/>
        <charset val="178"/>
      </rPr>
      <t>(طرح استانی)</t>
    </r>
  </si>
  <si>
    <t>جمع كل</t>
  </si>
  <si>
    <t>ماخذ : دفتر برنامه ريزي و بودجه و ذیحسابی طرحهای عمرانی</t>
  </si>
  <si>
    <t>توضیح 1 : اطلاعات فوق صرفاْ از محل منابع عمومی می باشند.</t>
  </si>
  <si>
    <t>توضیح2 : عملکرد اعلام شده بابت سال 1402 ، تا تاریخ 1402/12/29 می باشد.</t>
  </si>
  <si>
    <t>جدول شماره 87 - ميزان اعتبار و پرداختهای طرحهای تملک داراییهای سرمایه ای در ده سال اخير</t>
  </si>
  <si>
    <t>سال</t>
  </si>
  <si>
    <t>اعتبار اصلاحی</t>
  </si>
  <si>
    <t>مجموع عملکرد نقدی و غیر نقدی</t>
  </si>
  <si>
    <t>درصد عملکرد به اعتبارابلاغی</t>
  </si>
  <si>
    <t>توضیح1: اطلاعات فوق صرفاْ از محل منابع عمومی می باشند.</t>
  </si>
  <si>
    <t>توضیح2: عملکرد اعلام شده بابت سال 1402 ، تا تاریخ 1402/12/29 می باشد.</t>
  </si>
  <si>
    <r>
      <t xml:space="preserve">طرح احداث وتوسعه راه هاي فرعي </t>
    </r>
    <r>
      <rPr>
        <b/>
        <sz val="10"/>
        <color rgb="FFFF0000"/>
        <rFont val="B Nazanin"/>
        <charset val="178"/>
      </rPr>
      <t>(استانی زنجان)</t>
    </r>
  </si>
  <si>
    <r>
      <t>بهسازي وترميم خطوط راه آهن</t>
    </r>
    <r>
      <rPr>
        <b/>
        <sz val="10"/>
        <color rgb="FFFF0000"/>
        <rFont val="B Nazanin"/>
        <charset val="178"/>
      </rPr>
      <t xml:space="preserve"> (استاني فارس)</t>
    </r>
  </si>
  <si>
    <t>جدول شماره 105  -عملکرد حمل ونقل بار بين الملل ده شركت با بیشترین جابجایی بار در سال‌هاي 1402-1403</t>
  </si>
  <si>
    <t>ده شرکت با بیشترین تناژ حمل در سال 1403</t>
  </si>
  <si>
    <t>ده شرکت با بیشترین تناژ حمل در سال 1402</t>
  </si>
  <si>
    <t>تناژ (هزارتن)</t>
  </si>
  <si>
    <t xml:space="preserve">شرکت </t>
  </si>
  <si>
    <t>شرکت</t>
  </si>
  <si>
    <t>حمل و نقل بين المللي درياداران طوس</t>
  </si>
  <si>
    <t>سهند لجستيك</t>
  </si>
  <si>
    <t>راه آهن حمل و نقل</t>
  </si>
  <si>
    <t>سيمان زاوه تربت</t>
  </si>
  <si>
    <t>اسپاد ترابر ويرا</t>
  </si>
  <si>
    <t>حمل و نقل بين المللي جاده ابريشم</t>
  </si>
  <si>
    <t>سينا ريل پارس</t>
  </si>
  <si>
    <t>باني راه توس</t>
  </si>
  <si>
    <t>واگن بار آسيا</t>
  </si>
  <si>
    <t>گوهرنگارطوس</t>
  </si>
  <si>
    <t>حمل و نقل بين المللي شنل</t>
  </si>
  <si>
    <t>به تاش سپاهان</t>
  </si>
  <si>
    <t>بهينه ترابر آژور</t>
  </si>
  <si>
    <t>جمع سایر شرکت‌ها</t>
  </si>
  <si>
    <t>جمع کل</t>
  </si>
  <si>
    <t>ماخذ : سیستم بارنامه بین الملل</t>
  </si>
  <si>
    <t>جدول شماره  104  -عملکرد حمل ونقل بارداخلی ده شركت با بیشترین جابجایی بار در سالهاي 1402- 1401</t>
  </si>
  <si>
    <t>ده شرکت برتر سال 1403</t>
  </si>
  <si>
    <t>ده شرکت برتر سال 1402</t>
  </si>
  <si>
    <t xml:space="preserve">   تن كيلومتر     (میلیون)</t>
  </si>
  <si>
    <t>تناژ(هزارتن)</t>
  </si>
  <si>
    <t>شرکت توکا ریل</t>
  </si>
  <si>
    <t>شرکت راه آهن حمل و نقل</t>
  </si>
  <si>
    <t>شرکت چندوجهی فولاد لجستیک</t>
  </si>
  <si>
    <t>شرکت تجارت کوشش سپاهان</t>
  </si>
  <si>
    <t>شرکت حمل و نقل چند وجهی مپنا</t>
  </si>
  <si>
    <t>شرکت آسیا سیر ارس</t>
  </si>
  <si>
    <t>شرکت توسعه حمل و نقل بین المللی پارسیان</t>
  </si>
  <si>
    <t>شرکت پارسیان ریل شرق</t>
  </si>
  <si>
    <t>شرکت حمل و نقل ترکیبی کشتیرانی</t>
  </si>
  <si>
    <t>شرکت خدمات توکا کشش</t>
  </si>
  <si>
    <t>شرکت سریر لجستیک هوشمند ایرانیان</t>
  </si>
  <si>
    <t>جمع سایر شرکت ها</t>
  </si>
  <si>
    <t>جمع سایر شرکتها</t>
  </si>
  <si>
    <t>ماخذ سیستم BOL</t>
  </si>
  <si>
    <t>ادارات كل مناطق</t>
  </si>
  <si>
    <t>گار</t>
  </si>
  <si>
    <t>درجه یک</t>
  </si>
  <si>
    <t>درجه دو</t>
  </si>
  <si>
    <t>درجه سه</t>
  </si>
  <si>
    <t>بسته</t>
  </si>
  <si>
    <t>باز</t>
  </si>
  <si>
    <t>آذربایجان</t>
  </si>
  <si>
    <t>یزد</t>
  </si>
  <si>
    <t>شرق</t>
  </si>
  <si>
    <t>اصفهان</t>
  </si>
  <si>
    <t>شمالشرق1</t>
  </si>
  <si>
    <t>خراسان</t>
  </si>
  <si>
    <t>شمال1</t>
  </si>
  <si>
    <t>هرمزگان</t>
  </si>
  <si>
    <t>تهران</t>
  </si>
  <si>
    <t>اراک</t>
  </si>
  <si>
    <t>فارس</t>
  </si>
  <si>
    <t>کرمان</t>
  </si>
  <si>
    <t>جنوبشرق</t>
  </si>
  <si>
    <t>جنوب</t>
  </si>
  <si>
    <t>قم</t>
  </si>
  <si>
    <t>غرب</t>
  </si>
  <si>
    <t>شمالغرب</t>
  </si>
  <si>
    <t>زاگرس</t>
  </si>
  <si>
    <t>لرستان</t>
  </si>
  <si>
    <t>شمال2</t>
  </si>
  <si>
    <t>شمالشرق2</t>
  </si>
  <si>
    <t xml:space="preserve">ماخذ : اداره کل سیر و حرکت </t>
  </si>
  <si>
    <t>توضيح: ايستگاههاي بسته جزء ايستگاههاي درجه 3 نمی باشد.</t>
  </si>
  <si>
    <t xml:space="preserve">جدول شماره 1 - خلاصه آمار راه آهن </t>
  </si>
  <si>
    <t>شرح</t>
  </si>
  <si>
    <t>واحد</t>
  </si>
  <si>
    <t>طول خطوط اصلي</t>
  </si>
  <si>
    <t>كيلومتر</t>
  </si>
  <si>
    <t>تعدادپرسنل</t>
  </si>
  <si>
    <t>نفر</t>
  </si>
  <si>
    <t>تعداد پرسنل پیمانکار</t>
  </si>
  <si>
    <t>...</t>
  </si>
  <si>
    <t>تعداد واگن هاي باري آماده به کار*</t>
  </si>
  <si>
    <t>دستگاه</t>
  </si>
  <si>
    <t>تعداد واگن هاي باري درگردش</t>
  </si>
  <si>
    <t>ميانگين تعداد سالنهاي مسافري آماده به کار*</t>
  </si>
  <si>
    <t>ميانگين تعداد سالنهاي مسافري و خدماتی آماده به کار*</t>
  </si>
  <si>
    <t>ميانگين تعداد لكوموتيو آماده به کار*</t>
  </si>
  <si>
    <t>تعداد مسافر</t>
  </si>
  <si>
    <t>هزارنفر</t>
  </si>
  <si>
    <t>نفركيلومتر مسافر</t>
  </si>
  <si>
    <t>ميليون نفركيلومتر</t>
  </si>
  <si>
    <t>تناژ بار بارگيري شده</t>
  </si>
  <si>
    <t>هزارتن</t>
  </si>
  <si>
    <t>تن كيلومتربار</t>
  </si>
  <si>
    <t>ميليون تن كيلومتر</t>
  </si>
  <si>
    <t>تناژ ناخالص **</t>
  </si>
  <si>
    <t>تن كيلومترناخالص**</t>
  </si>
  <si>
    <t>تعداد واگن هاي بارگيري شده</t>
  </si>
  <si>
    <t>تناژ بار داخلی</t>
  </si>
  <si>
    <t>تناژ بار وارده</t>
  </si>
  <si>
    <t>تناژ بار  صادره</t>
  </si>
  <si>
    <t>تناژ بار  ترانزيت</t>
  </si>
  <si>
    <t>هزار تن</t>
  </si>
  <si>
    <t>سوخت مصرفی لکوموتیوها (گازوئيل )</t>
  </si>
  <si>
    <t>میلیون ليتر</t>
  </si>
  <si>
    <t xml:space="preserve">درآمد حمل بار </t>
  </si>
  <si>
    <t>میلیارد ریال</t>
  </si>
  <si>
    <t>هزينه جاري</t>
  </si>
  <si>
    <t>پرداخت هاي طرحهاي عمراني ***</t>
  </si>
  <si>
    <t>*توضیح اینکه : اصطلاح "آماده به کار " معادل اصطلاح " در سرویس " برای واگنهای باری و مسافری  و لکوموتیو ها از سال 1399 اصلاح شده است.</t>
  </si>
  <si>
    <t>** در سال 1401 اطلاعات تناژو تن کیلومتر ناخالص باری در نظر گرفته شده است.</t>
  </si>
  <si>
    <t>*** اطلاعات پرداختهای عمرانی در سالهای 1399-1393 اصلاح شده است.</t>
  </si>
  <si>
    <r>
      <t xml:space="preserve">جدول شماره 2 - خلاصه آمار راه آهن به تفكيك ماه درسال </t>
    </r>
    <r>
      <rPr>
        <b/>
        <sz val="16"/>
        <color rgb="FFC00000"/>
        <rFont val="B Nazanin"/>
        <charset val="178"/>
      </rPr>
      <t xml:space="preserve">1403 </t>
    </r>
    <r>
      <rPr>
        <b/>
        <sz val="16"/>
        <color indexed="56"/>
        <rFont val="B Nazanin"/>
        <charset val="178"/>
      </rPr>
      <t xml:space="preserve">          </t>
    </r>
  </si>
  <si>
    <t xml:space="preserve">فروردين </t>
  </si>
  <si>
    <t>ارديبهشت</t>
  </si>
  <si>
    <t>خرداد</t>
  </si>
  <si>
    <t>تير</t>
  </si>
  <si>
    <t>مرداد</t>
  </si>
  <si>
    <t>شهريور</t>
  </si>
  <si>
    <t>مهر</t>
  </si>
  <si>
    <t xml:space="preserve">آبان </t>
  </si>
  <si>
    <t>آذر</t>
  </si>
  <si>
    <t xml:space="preserve">دي </t>
  </si>
  <si>
    <t>بهمن</t>
  </si>
  <si>
    <t>اسفند</t>
  </si>
  <si>
    <t>جمع</t>
  </si>
  <si>
    <t xml:space="preserve">ميانگين تعداد لكوموتيو آماده بکار </t>
  </si>
  <si>
    <t xml:space="preserve">ميانگين تعداد سالن هاي مسافري آماده بکار </t>
  </si>
  <si>
    <t xml:space="preserve">ميانگين تعداد  واگن هاي خدماتی مسافری آماده بکار </t>
  </si>
  <si>
    <t xml:space="preserve">میانگین تعداد واگن های باری آماده بکار </t>
  </si>
  <si>
    <t>تعدادمسافر</t>
  </si>
  <si>
    <t>هزار نفر</t>
  </si>
  <si>
    <t>نفركيلومترمسافر</t>
  </si>
  <si>
    <t>میلیون نفركيلومتر</t>
  </si>
  <si>
    <t>متوسط سيرمسافر</t>
  </si>
  <si>
    <t xml:space="preserve">تن كيلومتر بار </t>
  </si>
  <si>
    <t>میلیون تن كيلومتر</t>
  </si>
  <si>
    <t>متوسط سير بار</t>
  </si>
  <si>
    <t>تناژ ناخالص باری</t>
  </si>
  <si>
    <t>تن كيلومتر  ناخالص باری</t>
  </si>
  <si>
    <t>درآمد بار داخلي</t>
  </si>
  <si>
    <t>ميليون ريال</t>
  </si>
  <si>
    <t xml:space="preserve">درآمد بار وارده و صادره </t>
  </si>
  <si>
    <t xml:space="preserve">درآمدبار ترانزيت </t>
  </si>
  <si>
    <t>جمع كل درآمد حمل بار</t>
  </si>
  <si>
    <t>رديف</t>
  </si>
  <si>
    <t>تاريخ</t>
  </si>
  <si>
    <t>پست و توشه تناژ</t>
  </si>
  <si>
    <t>پست و توشه تن کيلومتر</t>
  </si>
  <si>
    <t>پست و توشه تعداد واگن</t>
  </si>
  <si>
    <t>ماه</t>
  </si>
  <si>
    <t>حذف</t>
  </si>
  <si>
    <t>فروردين</t>
  </si>
  <si>
    <t>اراك</t>
  </si>
  <si>
    <t>شمال</t>
  </si>
  <si>
    <t>شمالشرق</t>
  </si>
  <si>
    <t>آذربايجان</t>
  </si>
  <si>
    <t>يزد</t>
  </si>
  <si>
    <t>پست و توشه</t>
  </si>
  <si>
    <t xml:space="preserve"> حمل خودرو</t>
  </si>
  <si>
    <t>تعداد پرسنل</t>
  </si>
  <si>
    <t>تن كيلومتر بار مرزی</t>
  </si>
  <si>
    <t xml:space="preserve">         ميليون   تن كيلومتر</t>
  </si>
  <si>
    <t>---</t>
  </si>
  <si>
    <t xml:space="preserve">درآمد بار داخلي </t>
  </si>
  <si>
    <t xml:space="preserve">درآمدبارترانزيت </t>
  </si>
  <si>
    <t>جمع كل درآمد  حمل بار</t>
  </si>
  <si>
    <t>كرمان</t>
  </si>
  <si>
    <t>نمودارهاي روندي امكانات و فعاليتهای راه آهن در ده سال اخير</t>
  </si>
  <si>
    <r>
      <t xml:space="preserve">جدول شماره 4 - كالاهاي ترانزيتي حمل شده به تفكيك مرز ورود وخروج درسال </t>
    </r>
    <r>
      <rPr>
        <b/>
        <sz val="14"/>
        <color rgb="FFC00000"/>
        <rFont val="B Zar"/>
        <charset val="178"/>
      </rPr>
      <t>1403</t>
    </r>
  </si>
  <si>
    <t>مرز ورودي</t>
  </si>
  <si>
    <t>مرز خروجي</t>
  </si>
  <si>
    <t>نام كالا</t>
  </si>
  <si>
    <t>تعداد واگن</t>
  </si>
  <si>
    <t xml:space="preserve">تناژ </t>
  </si>
  <si>
    <t>تن كيلومتر</t>
  </si>
  <si>
    <t>مبدا</t>
  </si>
  <si>
    <t>مقصد</t>
  </si>
  <si>
    <t>نوع بار</t>
  </si>
  <si>
    <t xml:space="preserve"> تعداد واگن</t>
  </si>
  <si>
    <t xml:space="preserve"> تناژ</t>
  </si>
  <si>
    <t xml:space="preserve"> تن کيلومتر</t>
  </si>
  <si>
    <t>اینچه برون</t>
  </si>
  <si>
    <t>اقلام متفرقه</t>
  </si>
  <si>
    <t>برنج خواركي از هر نوع</t>
  </si>
  <si>
    <t>پلاستيك و مصنوعات آن</t>
  </si>
  <si>
    <t>جو</t>
  </si>
  <si>
    <t>دانه هاي نباتي و روغني</t>
  </si>
  <si>
    <t>روغن خوراكي(حيواني ونباتي لزهر نوع)</t>
  </si>
  <si>
    <t>سنگ گرانيت</t>
  </si>
  <si>
    <t>كانتينر باردار</t>
  </si>
  <si>
    <t>كود شيميايي</t>
  </si>
  <si>
    <t>لپه</t>
  </si>
  <si>
    <t>نخود خشك</t>
  </si>
  <si>
    <t>نوشابه هاي معدني وگازدار</t>
  </si>
  <si>
    <t xml:space="preserve">جمع محور   اینچه برون  اینچه برون </t>
  </si>
  <si>
    <t>بندرعباس</t>
  </si>
  <si>
    <t>كانتينر</t>
  </si>
  <si>
    <t xml:space="preserve">جمع محور   اینچه برون  بندرعباس </t>
  </si>
  <si>
    <t>ترکیه</t>
  </si>
  <si>
    <t xml:space="preserve">جمع محور   اینچه برون  ترکیه </t>
  </si>
  <si>
    <t>جلفا</t>
  </si>
  <si>
    <t xml:space="preserve">جمع محور   اینچه برون  جلفا </t>
  </si>
  <si>
    <t>نیک پسندی</t>
  </si>
  <si>
    <t xml:space="preserve">جمع محور   اینچه برون  نیک پسندی </t>
  </si>
  <si>
    <t xml:space="preserve">جمع محور   اینچه برون </t>
  </si>
  <si>
    <t>كانتينر خالي</t>
  </si>
  <si>
    <t xml:space="preserve">جمع محور   بندرعباس  اینچه برون </t>
  </si>
  <si>
    <t>سرخس</t>
  </si>
  <si>
    <t>اکسيد آلومينيوم</t>
  </si>
  <si>
    <t>آلومينيوم(بصورت شمش)</t>
  </si>
  <si>
    <t>آلومينيوم(بصورت ورق و اشيا ساخته شده )</t>
  </si>
  <si>
    <t>آهن آلات ( بصورت ورق خ ميله خ ميل گرد خ تير خ پروفيل)</t>
  </si>
  <si>
    <t>بنزين</t>
  </si>
  <si>
    <t>بوژي</t>
  </si>
  <si>
    <t>پلي - ونيل - كلرايد</t>
  </si>
  <si>
    <t>پودر آلومينيوم</t>
  </si>
  <si>
    <t>حبوبات</t>
  </si>
  <si>
    <t>خاك و كلوخه كائولين</t>
  </si>
  <si>
    <t>رول 30 تني</t>
  </si>
  <si>
    <t>شكر</t>
  </si>
  <si>
    <t>صابون عطري</t>
  </si>
  <si>
    <t>كاغذ از هر نوع</t>
  </si>
  <si>
    <t>لاستيك خام</t>
  </si>
  <si>
    <t>لاستيك ماشين (توئي و روئي)</t>
  </si>
  <si>
    <t>نخ از هر قبيل(سادهخ تابيدهخ پشمخ گياهيخ ابريشم)</t>
  </si>
  <si>
    <t>نگله</t>
  </si>
  <si>
    <t xml:space="preserve">جمع محور   بندرعباس  سرخس </t>
  </si>
  <si>
    <t xml:space="preserve">جمع محور   بندرعباس  ترکیه </t>
  </si>
  <si>
    <t>بندر امیر آباد</t>
  </si>
  <si>
    <t xml:space="preserve">جمع محور   بندرعباس  بندر امیر آباد </t>
  </si>
  <si>
    <t>شمتیغ-افغانستان</t>
  </si>
  <si>
    <t xml:space="preserve">جمع محور   بندرعباس  شمتیغ-افغانستان </t>
  </si>
  <si>
    <t>شهید مطهری</t>
  </si>
  <si>
    <t xml:space="preserve">جمع محور   بندرعباس  شهید مطهری </t>
  </si>
  <si>
    <t xml:space="preserve">جمع محور   بندرعباس </t>
  </si>
  <si>
    <t>روغن مخصوص ماشين آلات</t>
  </si>
  <si>
    <t>زغال سنگ و:.</t>
  </si>
  <si>
    <t>گوگرد خام</t>
  </si>
  <si>
    <t>نفت كوره (مازوت)</t>
  </si>
  <si>
    <t>وازلين</t>
  </si>
  <si>
    <t xml:space="preserve">جمع محور   سرخس  بندرعباس </t>
  </si>
  <si>
    <t>اتومبيل خودرو(طبق مقررات تعرفه )</t>
  </si>
  <si>
    <t>پارچه وقماش از هر نوع كتانيخ پشمي خ ابريشميخ نخي)</t>
  </si>
  <si>
    <t>پودر و مايعات پاك كن</t>
  </si>
  <si>
    <t>چاي</t>
  </si>
  <si>
    <t>چوب بصورت روكشي</t>
  </si>
  <si>
    <t>خامه شير</t>
  </si>
  <si>
    <t>دستگاهاي گرم و كننده و سرد كننده</t>
  </si>
  <si>
    <t>رنگ هاي ساخته شده از هر نوغ</t>
  </si>
  <si>
    <t>سراميك و مصنوعات سراميكي</t>
  </si>
  <si>
    <t>كنجاله سويا و ساير تفاله هاي دانه هاي روغني</t>
  </si>
  <si>
    <t>گازوئيل</t>
  </si>
  <si>
    <t>گچ به صورت پودر</t>
  </si>
  <si>
    <t>لوله پليكا</t>
  </si>
  <si>
    <t>ماشين الات راه سازي (تراكتور- لودر- بولدوزر-گريدر:)</t>
  </si>
  <si>
    <t>ماشين الات صنعتي از هر قبيل</t>
  </si>
  <si>
    <t>ميوه جات ومركبات تازه درختي</t>
  </si>
  <si>
    <t>يخچال برقي و نفتي از هرقبيل</t>
  </si>
  <si>
    <t xml:space="preserve">جمع محور   سرخس  سرخس </t>
  </si>
  <si>
    <t xml:space="preserve">جمع محور   سرخس  ترکیه </t>
  </si>
  <si>
    <t xml:space="preserve">جمع محور   سرخس  اصفهان </t>
  </si>
  <si>
    <t>انجیلاوند</t>
  </si>
  <si>
    <t xml:space="preserve">جمع محور   سرخس  انجیلاوند </t>
  </si>
  <si>
    <t>زاهدان-مسافری</t>
  </si>
  <si>
    <t xml:space="preserve">جمع محور   سرخس  زاهدان-مسافری </t>
  </si>
  <si>
    <t>تفاله ميوه جات و:.</t>
  </si>
  <si>
    <t xml:space="preserve">جمع محور   سرخس  شهید مطهری </t>
  </si>
  <si>
    <t>فریمان</t>
  </si>
  <si>
    <t xml:space="preserve">جمع محور   سرخس  فریمان </t>
  </si>
  <si>
    <t>لطف آباد</t>
  </si>
  <si>
    <t>عدس</t>
  </si>
  <si>
    <t xml:space="preserve">جمع محور   سرخس  لطف آباد </t>
  </si>
  <si>
    <t xml:space="preserve">جمع محور   سرخس </t>
  </si>
  <si>
    <t>آرد از هر قبيل(گندم- جو-ذرت )</t>
  </si>
  <si>
    <t>تشك از هر قبيل</t>
  </si>
  <si>
    <t>چسب از هر نوع</t>
  </si>
  <si>
    <t>صابون غير عطري ورختشويي</t>
  </si>
  <si>
    <t>مالت</t>
  </si>
  <si>
    <t>مواد شيميايي(به استثناي آنچه نامبرده شده)</t>
  </si>
  <si>
    <t>نمك طعام بصورت پودر</t>
  </si>
  <si>
    <t xml:space="preserve">جمع محور   ترکیه  اینچه برون </t>
  </si>
  <si>
    <t>ابزار آلات بنايي</t>
  </si>
  <si>
    <t>الكترود</t>
  </si>
  <si>
    <t>باطري (از هر نوع )</t>
  </si>
  <si>
    <t>پلي اتيلن کيسه اي-PET</t>
  </si>
  <si>
    <t>پمپ</t>
  </si>
  <si>
    <t>پودر باريت</t>
  </si>
  <si>
    <t>خمير كاغذ</t>
  </si>
  <si>
    <t>دگمه</t>
  </si>
  <si>
    <t>شن وريگ</t>
  </si>
  <si>
    <t>فسفات پتاسيم</t>
  </si>
  <si>
    <t>فولاد(به صورت ورق و اشياآ ساخته شده)</t>
  </si>
  <si>
    <t>كابل و سيم</t>
  </si>
  <si>
    <t>لوازم برقي كه نام برده نشده</t>
  </si>
  <si>
    <t>لوله هاي پلاستيكي</t>
  </si>
  <si>
    <t>ميزو مبل و صندلي چوبي</t>
  </si>
  <si>
    <t>ميزو مبل و صندلي فلزي</t>
  </si>
  <si>
    <t xml:space="preserve">جمع محور   ترکیه  سرخس </t>
  </si>
  <si>
    <t xml:space="preserve">جمع محور   ترکیه  بندر امیر آباد </t>
  </si>
  <si>
    <t>تبریز</t>
  </si>
  <si>
    <t>مخزن وظرفهاي بزرگ</t>
  </si>
  <si>
    <t xml:space="preserve">جمع محور   ترکیه  تبریز </t>
  </si>
  <si>
    <t>ريل</t>
  </si>
  <si>
    <t xml:space="preserve">جمع محور   ترکیه  شمتیغ-افغانستان </t>
  </si>
  <si>
    <t>پنبه منگنه شده تجاري</t>
  </si>
  <si>
    <t xml:space="preserve">جمع محور   ترکیه  جلفا </t>
  </si>
  <si>
    <t xml:space="preserve">جمع محور   ترکیه  زاهدان-مسافری </t>
  </si>
  <si>
    <t>سهلان</t>
  </si>
  <si>
    <t>پارافين (جامد و مايع)</t>
  </si>
  <si>
    <t>رزين از هرنوع(صمغ)</t>
  </si>
  <si>
    <t>سبزيجات خشك</t>
  </si>
  <si>
    <t>قطعات ماشين آلات</t>
  </si>
  <si>
    <t>قير از هر نوع و هر شكل</t>
  </si>
  <si>
    <t>كاكائو</t>
  </si>
  <si>
    <t>كربنات دو سود يا سودا</t>
  </si>
  <si>
    <t xml:space="preserve">جمع محور   ترکیه  سهلان </t>
  </si>
  <si>
    <t>مجتمع سنگان</t>
  </si>
  <si>
    <t xml:space="preserve">جمع محور   ترکیه  مجتمع سنگان </t>
  </si>
  <si>
    <t xml:space="preserve">مجتمع بندري کاسپين </t>
  </si>
  <si>
    <t xml:space="preserve">جمع محور   ترکیه مجتمع بندري کاسپين </t>
  </si>
  <si>
    <t xml:space="preserve">جمع محور   ترکیه </t>
  </si>
  <si>
    <t>آستارا</t>
  </si>
  <si>
    <t>ارزن</t>
  </si>
  <si>
    <t>تخته سه لايي</t>
  </si>
  <si>
    <t>تخته نجاري(غير از:)</t>
  </si>
  <si>
    <t>تخم و دانه هاي روغني و نباتي</t>
  </si>
  <si>
    <t>خاك سيليس دار</t>
  </si>
  <si>
    <t>ذرت</t>
  </si>
  <si>
    <t>زغال چوب</t>
  </si>
  <si>
    <t>زغالهاي صنعتي و:.</t>
  </si>
  <si>
    <t>گندم</t>
  </si>
  <si>
    <t>گوشت حيوانات دريائي - طيور - چهارپا</t>
  </si>
  <si>
    <t xml:space="preserve">جمع محور   آستارا  آستارا </t>
  </si>
  <si>
    <t xml:space="preserve">جمع محور   آستارا </t>
  </si>
  <si>
    <t xml:space="preserve">بندر امیر آباد  بندرعباس </t>
  </si>
  <si>
    <t xml:space="preserve">جمع محور   بندر امیر آباد </t>
  </si>
  <si>
    <t>ميوه جات و سبزيجات محفوظ كمپوت وكنسرو</t>
  </si>
  <si>
    <t xml:space="preserve">جمع محور   جلفا  ترکیه </t>
  </si>
  <si>
    <t xml:space="preserve">جمع محور   جلفا </t>
  </si>
  <si>
    <t>رشت</t>
  </si>
  <si>
    <t xml:space="preserve">جمع محور   رشت  ترکیه </t>
  </si>
  <si>
    <t xml:space="preserve">جمع محور   رشت </t>
  </si>
  <si>
    <t>فلفل</t>
  </si>
  <si>
    <t xml:space="preserve">جمع محور   زاهدان-مسافری  ترکیه </t>
  </si>
  <si>
    <t>میرجاوه</t>
  </si>
  <si>
    <t xml:space="preserve">جمع محور   زاهدان-مسافری  میرجاوه </t>
  </si>
  <si>
    <t xml:space="preserve">جمع محور   زاهدان-مسافری </t>
  </si>
  <si>
    <t xml:space="preserve">جمع محور   سهلان  ترکیه </t>
  </si>
  <si>
    <t xml:space="preserve">جمع محور   سهلان </t>
  </si>
  <si>
    <t xml:space="preserve">جمع محور   شمتیغ-افغانستان  بندرعباس </t>
  </si>
  <si>
    <t>سنگ تالك</t>
  </si>
  <si>
    <t xml:space="preserve">جمع محور   شمتیغ-افغانستان  ترکیه </t>
  </si>
  <si>
    <t xml:space="preserve">جمع محور   شمتیغ-افغانستان </t>
  </si>
  <si>
    <t xml:space="preserve">جمع محور   شهید مطهری  بندرعباس </t>
  </si>
  <si>
    <t xml:space="preserve">جمع محور   شهید مطهری  سرخس </t>
  </si>
  <si>
    <t xml:space="preserve">جمع محور   شهید مطهری </t>
  </si>
  <si>
    <t>مجتمع بندري کاسپين</t>
  </si>
  <si>
    <t xml:space="preserve">جمع محور   مجتمع بندري کاسپين  ترکیه </t>
  </si>
  <si>
    <t xml:space="preserve">جمع محور   مجتمع بندري کاسپين </t>
  </si>
  <si>
    <r>
      <t xml:space="preserve">جدول شماره 5 - مقايسه كالاهاي ترانزيتي حمل شده به تفكيك نفتي وغيرنفتي در سالهاي </t>
    </r>
    <r>
      <rPr>
        <b/>
        <sz val="14"/>
        <color rgb="FFC00000"/>
        <rFont val="B Nazanin"/>
        <charset val="178"/>
      </rPr>
      <t>1403 - 1402</t>
    </r>
  </si>
  <si>
    <t>درصدتغييرات</t>
  </si>
  <si>
    <t>نفتي</t>
  </si>
  <si>
    <t>غيرنفتي</t>
  </si>
  <si>
    <t>كل</t>
  </si>
  <si>
    <t>تناژ</t>
  </si>
  <si>
    <t>ماخذ: اداره کل سير و حرکت</t>
  </si>
  <si>
    <t>جدول شماره 6 - عملكرد صادره - وارده و ترانزيتي حمل كالا به تفكيك نفتي وغيرنفتي درسالهاي 1403-1402</t>
  </si>
  <si>
    <t>درصد
تغييرات</t>
  </si>
  <si>
    <t>بندرامام</t>
  </si>
  <si>
    <t>واگن</t>
  </si>
  <si>
    <t>رازي</t>
  </si>
  <si>
    <t>بندراميرآباد</t>
  </si>
  <si>
    <t>ماهشهر</t>
  </si>
  <si>
    <t>شلمچه</t>
  </si>
  <si>
    <t>ميرجاوه</t>
  </si>
  <si>
    <t>شمتیغ</t>
  </si>
  <si>
    <t>سایر</t>
  </si>
  <si>
    <t>جمع كل صادره</t>
  </si>
  <si>
    <t xml:space="preserve">جمع كل وارده </t>
  </si>
  <si>
    <t xml:space="preserve"> </t>
  </si>
  <si>
    <t>جمع ترانزيت</t>
  </si>
  <si>
    <t>توضیحات: به منظور یکسان سازی اطلاعات میان سامانه های آماری ادارات کل سیر و حرکت، بازرگانی داخلی و خارجی، از ابتدای سال 1401 نوع حمل (داخلی، صادرات، واردات یا ترانزیت) بار بر اساس بارنامه ثبت شده است.</t>
  </si>
  <si>
    <t>جدول شماره 7 - تناژ بار وارده راه آهن ازمبادي ورودي در ده سال اخير</t>
  </si>
  <si>
    <t>(ارقام به هزار)</t>
  </si>
  <si>
    <t>سربندر</t>
  </si>
  <si>
    <t>خرمشهر</t>
  </si>
  <si>
    <t>اميرآباد</t>
  </si>
  <si>
    <t>بندرترکمن</t>
  </si>
  <si>
    <t>جدول شماره 8 - تناژ بار صادره راه آهن به مقاصد خروجي در ده سال اخير</t>
  </si>
  <si>
    <t xml:space="preserve">اینچه برون </t>
  </si>
  <si>
    <t>جدول شماره 9 - تعداد واگن هاي وارده راه آهن درسال 1403 و مقايسه آن با سال قبل</t>
  </si>
  <si>
    <t>جدول شماره 10 - تعداد واگن هاي صادره  راه آهن درسال 1403 و مقايسه آن با سال قبل</t>
  </si>
  <si>
    <t>جدول شماره 11 - تناژ بار وارده راه آهن درسال 1403 و مقايسه آن با سال قبل</t>
  </si>
  <si>
    <t>جدول شماره 12 - تناژ بار صادره راه آهن درسال 1403 و مقايسه آن با سال قبل</t>
  </si>
  <si>
    <t>جدول شماره 13 - تن كيلومتر بار وارده راه آهن درسال 1403 و مقايسه آن با سال قبل</t>
  </si>
  <si>
    <t>جدول شماره 14 -  تن كيلومتر بار صادره راه آهن درسال 1403 و مقايسه آن با سال قبل</t>
  </si>
  <si>
    <t>مقايسه</t>
  </si>
  <si>
    <t>بندرامیرآباد</t>
  </si>
  <si>
    <t>بندر امیرآباد</t>
  </si>
  <si>
    <t>ماخذ : اداره كل سير وحركت</t>
  </si>
  <si>
    <t>آمارتجمعی بار بر اساس نوع حمل و نقل</t>
  </si>
  <si>
    <t xml:space="preserve">تاريخ تهيه : </t>
  </si>
  <si>
    <t>بسمه تعالي</t>
  </si>
  <si>
    <t>شرکت راه آهن جمهوري اسلامي ايران</t>
  </si>
  <si>
    <t> 1399/12/29</t>
  </si>
  <si>
    <t>تا تاريخ</t>
  </si>
  <si>
    <t> 1399/01/01</t>
  </si>
  <si>
    <t>از تاريخ</t>
  </si>
  <si>
    <t xml:space="preserve">گزارش تجمعي وضعيت حمل بار </t>
  </si>
  <si>
    <t>تن کيلومتر مبدا-مقصد</t>
  </si>
  <si>
    <t>نوع حمل و نقل</t>
  </si>
  <si>
    <t>کالا</t>
  </si>
  <si>
    <t>واردات</t>
  </si>
  <si>
    <t>--</t>
  </si>
  <si>
    <t>ناحيه</t>
  </si>
  <si>
    <t>      155,502,430</t>
  </si>
  <si>
    <t>      2,008,841,651</t>
  </si>
  <si>
    <t>      33,857,722</t>
  </si>
  <si>
    <t>      21,225,715</t>
  </si>
  <si>
    <t>      21,822,900</t>
  </si>
  <si>
    <t>      1,497,672</t>
  </si>
  <si>
    <t>      1,278,679,319</t>
  </si>
  <si>
    <t>  جمع كل :</t>
  </si>
  <si>
    <t>"اين گزارش بدون تائيد اداره کل سير و حرکت فاقد اعتبار مي باشد"</t>
  </si>
  <si>
    <t>گزارش حمل  و نقل کالا بر اساس نوع حمل و نقل</t>
  </si>
  <si>
    <t>       1,025,720</t>
  </si>
  <si>
    <t>       17,217</t>
  </si>
  <si>
    <t>       3,611,790</t>
  </si>
  <si>
    <t>       64,462</t>
  </si>
  <si>
    <t xml:space="preserve">صفحه : 1        </t>
  </si>
  <si>
    <t xml:space="preserve">ساعت :  </t>
  </si>
  <si>
    <t xml:space="preserve">1400/07/24 </t>
  </si>
  <si>
    <t>از تاريخ  </t>
  </si>
  <si>
    <t> 1399/12/30</t>
  </si>
  <si>
    <t>گزارش تجمعي حمل و نقل كالا در ناحيه به تفكيك نوع حمل و نقل</t>
  </si>
  <si>
    <t>نوع حمل</t>
  </si>
  <si>
    <t>      25,300</t>
  </si>
  <si>
    <t>      485</t>
  </si>
  <si>
    <t>جمع ناحيه</t>
  </si>
  <si>
    <t>      200,175</t>
  </si>
  <si>
    <t>      5,069</t>
  </si>
  <si>
    <t>      7,140</t>
  </si>
  <si>
    <t>      105</t>
  </si>
  <si>
    <t>      145,486</t>
  </si>
  <si>
    <t>      2,408</t>
  </si>
  <si>
    <t>      1,025,720</t>
  </si>
  <si>
    <t>      17,217</t>
  </si>
  <si>
    <t>      1,285,286,381</t>
  </si>
  <si>
    <t>      1,031,001</t>
  </si>
  <si>
    <t>      17,293</t>
  </si>
  <si>
    <t>      137,301</t>
  </si>
  <si>
    <t>      2,442</t>
  </si>
  <si>
    <t>      33,896,122</t>
  </si>
  <si>
    <t>      137,557</t>
  </si>
  <si>
    <t>      2,447</t>
  </si>
  <si>
    <t>      2,070,668</t>
  </si>
  <si>
    <t>      36,736</t>
  </si>
  <si>
    <t>      2,010,220,730</t>
  </si>
  <si>
    <t>      2,071,446</t>
  </si>
  <si>
    <t>      36,750</t>
  </si>
  <si>
    <t>      3,521,427,409</t>
  </si>
  <si>
    <t>      3,611,790</t>
  </si>
  <si>
    <t>      64,462</t>
  </si>
  <si>
    <t>      3,529,451,950</t>
  </si>
  <si>
    <t>      3,618,105</t>
  </si>
  <si>
    <t>      64,557</t>
  </si>
  <si>
    <t>گزارشات حمل و نقل به صورت جزیی تجمعثی</t>
  </si>
  <si>
    <t>  جمع كل</t>
  </si>
  <si>
    <t>جدول شماره 15 - تعدادواگن هاي بارگيري شده درسال 1403 و مقايسه آن با سال قبل</t>
  </si>
  <si>
    <t xml:space="preserve">    ماخذ :اداره كل سيروحركت</t>
  </si>
  <si>
    <t>توجه:
از ابتدای مهر ماه سال جاری، محموله های "توشه" و "حمل خودرو" در موجودی تناژ و تن کیلومتر ادارات کل مناطق لحاظ شده است.</t>
  </si>
  <si>
    <r>
      <t xml:space="preserve">جدول شماره 16 - تناژبار بارگيري شده به تفكيك ماه و مناطق در سال </t>
    </r>
    <r>
      <rPr>
        <b/>
        <sz val="16"/>
        <color rgb="FFFF0000"/>
        <rFont val="B Nazanin"/>
        <charset val="178"/>
      </rPr>
      <t>1403</t>
    </r>
  </si>
  <si>
    <t xml:space="preserve">پست و توشه </t>
  </si>
  <si>
    <t>حمل خودرو</t>
  </si>
  <si>
    <t>آبان</t>
  </si>
  <si>
    <t>دي</t>
  </si>
  <si>
    <t xml:space="preserve">    ماخذ : اداره كل سير وحركت</t>
  </si>
  <si>
    <t>جدول شماره 17 - تناژبار بارگيري شده درسال 1403 و مقايسه آن با سال قبل</t>
  </si>
  <si>
    <t xml:space="preserve">    ماخذ: اداره كل سيروحركت</t>
  </si>
  <si>
    <r>
      <t xml:space="preserve">جدول شماره 18 - تناژ بار بارگيري شده     به تفكيك ماه در سال </t>
    </r>
    <r>
      <rPr>
        <b/>
        <sz val="14"/>
        <color rgb="FFFF0000"/>
        <rFont val="B Nazanin"/>
        <charset val="178"/>
      </rPr>
      <t>1403</t>
    </r>
    <r>
      <rPr>
        <b/>
        <sz val="14"/>
        <color indexed="62"/>
        <rFont val="B Nazanin"/>
        <charset val="178"/>
      </rPr>
      <t xml:space="preserve">             </t>
    </r>
  </si>
  <si>
    <t>جمع مواد نفتي</t>
  </si>
  <si>
    <t>زغال سنگ</t>
  </si>
  <si>
    <t>سايرموادمعدني</t>
  </si>
  <si>
    <t xml:space="preserve">جمع </t>
  </si>
  <si>
    <t>سیمان</t>
  </si>
  <si>
    <t>بالاست</t>
  </si>
  <si>
    <t>غله</t>
  </si>
  <si>
    <t>سايرموادكشاورزي</t>
  </si>
  <si>
    <t>موادغذايي</t>
  </si>
  <si>
    <t>آهن آلات</t>
  </si>
  <si>
    <t>آلومینیم</t>
  </si>
  <si>
    <t>چوب ومحصولات آن</t>
  </si>
  <si>
    <t>وسائط نقليه</t>
  </si>
  <si>
    <t>حيوانات</t>
  </si>
  <si>
    <t>گوگرد</t>
  </si>
  <si>
    <t>کانتینر</t>
  </si>
  <si>
    <t>سايربارها</t>
  </si>
  <si>
    <t>جمع كل محمولات مناطق</t>
  </si>
  <si>
    <t>ماخذ : اداره كل سير و حركت</t>
  </si>
  <si>
    <t xml:space="preserve">جدول شماره 19 - تناژ بار بارگيري شده      </t>
  </si>
  <si>
    <r>
      <t xml:space="preserve"> به تفكيك مناطق در سال </t>
    </r>
    <r>
      <rPr>
        <b/>
        <sz val="16"/>
        <color rgb="FFFF0000"/>
        <rFont val="B Nazanin"/>
        <charset val="178"/>
      </rPr>
      <t>1403</t>
    </r>
    <r>
      <rPr>
        <b/>
        <sz val="16"/>
        <color rgb="FF000099"/>
        <rFont val="B Nazanin"/>
        <charset val="178"/>
      </rPr>
      <t xml:space="preserve">   </t>
    </r>
  </si>
  <si>
    <t>سايرباها</t>
  </si>
  <si>
    <t>جدول شماره 20 - تناژبار بارگيري شده به تفكيك مواد درسالهاي 1403 - 1397</t>
  </si>
  <si>
    <t>(هزار تن)</t>
  </si>
  <si>
    <t>مواد نفتي</t>
  </si>
  <si>
    <t>مواد معدني</t>
  </si>
  <si>
    <t>مواد كشاورزي</t>
  </si>
  <si>
    <t>مواد غذايي</t>
  </si>
  <si>
    <t>مواد صنعتي</t>
  </si>
  <si>
    <t>سايرمحمولات</t>
  </si>
  <si>
    <t>توشه و حمل خودرو</t>
  </si>
  <si>
    <t>لازم بذکر است آمار بالاست و سیمان در آمار مواد معدنی درج گردیده است .</t>
  </si>
  <si>
    <t>توشه</t>
  </si>
  <si>
    <t xml:space="preserve">     ماخذ : اداره كل سير وحركت</t>
  </si>
  <si>
    <t>جدول شماره 22 - تن كيلومتربار مرزي درسال 1403 و مقايسه آن با سال قبل</t>
  </si>
  <si>
    <t>ماخذ: اداره كل سيروحركت</t>
  </si>
  <si>
    <r>
      <t xml:space="preserve">              جدول شماره 23 - تن كيلومتر بار بارگيري شده      ( مبدا - مقصد) به تفكيك ماه در سال </t>
    </r>
    <r>
      <rPr>
        <b/>
        <sz val="16"/>
        <color rgb="FFFF0000"/>
        <rFont val="B Zar"/>
        <charset val="178"/>
      </rPr>
      <t>1403</t>
    </r>
    <r>
      <rPr>
        <b/>
        <sz val="16"/>
        <color rgb="FF000099"/>
        <rFont val="B Zar"/>
        <charset val="178"/>
      </rPr>
      <t xml:space="preserve">              </t>
    </r>
  </si>
  <si>
    <t xml:space="preserve"> پست و توشه </t>
  </si>
  <si>
    <r>
      <t xml:space="preserve">                 جدول شماره 24 - تن كيلومتر بار بارگيري شده                              ( مبدا - مقصد ) به تفكيك مناطق درسال  </t>
    </r>
    <r>
      <rPr>
        <b/>
        <sz val="16"/>
        <color rgb="FFFF0000"/>
        <rFont val="B Nazanin"/>
        <charset val="178"/>
      </rPr>
      <t>1403</t>
    </r>
    <r>
      <rPr>
        <b/>
        <sz val="16"/>
        <color indexed="62"/>
        <rFont val="B Nazanin"/>
        <charset val="178"/>
      </rPr>
      <t xml:space="preserve"> </t>
    </r>
  </si>
  <si>
    <t>پست وتوشه</t>
  </si>
  <si>
    <t>ناحیه تهران از اداره کل سیر و حرکت استعلام گردد .</t>
  </si>
  <si>
    <t>*B24</t>
  </si>
  <si>
    <t>جدول شماره 25 - واحد حمل درسال 1403 و مقايسه آن با سال قبل</t>
  </si>
  <si>
    <t xml:space="preserve">ميانگين </t>
  </si>
  <si>
    <t>توضيح اينكه تن كيلومتر توشه درجدول محاسبه شده است.</t>
  </si>
  <si>
    <t>جدول شماره 26 - فعاليت و كاركرد كلي قطارها به تفكيك ماه در سال 1403</t>
  </si>
  <si>
    <t>جدول شماره 45 - فعاليت و كاركرد قطارها ي مسافري و محلی به تفكيك ماه در سال 1403</t>
  </si>
  <si>
    <t>جدول شماره 28 - فعاليت و كاركرد قطارهاي باري  و عملیات به تفكيك ماه در سال 1403</t>
  </si>
  <si>
    <t>دفعات رفت وبرگشت</t>
  </si>
  <si>
    <t>تعدادواگن</t>
  </si>
  <si>
    <t>وزن بار به تن</t>
  </si>
  <si>
    <t>تن كيلومتر كلي</t>
  </si>
  <si>
    <t>قطاركيلومتر</t>
  </si>
  <si>
    <t>باردار</t>
  </si>
  <si>
    <t>خالي</t>
  </si>
  <si>
    <t>بارخالص</t>
  </si>
  <si>
    <t>بارباواگن</t>
  </si>
  <si>
    <t>خالص</t>
  </si>
  <si>
    <t>غيرخالص</t>
  </si>
  <si>
    <t>جدول شماره 27 - فعاليت و كاركرد كلي قطارها به تفكيك مناطق در سال 1403</t>
  </si>
  <si>
    <t>جدول شماره46 - فعاليت و كاركرد قطارهاي مسافري  و محلی به تفكيك مناطق در سال 1403</t>
  </si>
  <si>
    <t>جدول شماره 29 - فعاليت و كاركرد قطارهاي باري  و عملیات به تفكيك مناطق در سال 1403</t>
  </si>
  <si>
    <t>شمال 2</t>
  </si>
  <si>
    <t>شمالشرق 1</t>
  </si>
  <si>
    <t>شمالشرق 2</t>
  </si>
  <si>
    <t>اهم نقاط قوت عملکرد حمل و نقل بار در سال 1403</t>
  </si>
  <si>
    <t>عنوان</t>
  </si>
  <si>
    <t>تناژ از دست رفته
(هزار تن)</t>
  </si>
  <si>
    <t>تن کیلومتر از دست رفته
(میلیون تن کیلومتر)</t>
  </si>
  <si>
    <t>افزایش بارگیری  مواد معدنی از   سلطانيه  به  سنگان  به میزان 516 هزار تن  و 702 میلیون تن کیلومتر</t>
  </si>
  <si>
    <t xml:space="preserve"> بارگیری مازوت از  ماهشهر به کهندژ</t>
  </si>
  <si>
    <t>افزایش بارگیری  مواد معدنی از  گل گهر و معدن گل گهر به مجتمع فولاد مبارکه به میزان 369 هزار تن  و 294 میلیون تن کیلومتر</t>
  </si>
  <si>
    <t xml:space="preserve"> بارگیری مواد معدني از  بیشه در به چادرملو</t>
  </si>
  <si>
    <t>افزایش بارگیری  پودر سنگ آهن از  معدن گل گهر به مجتمع فولاد خوزستان به میزان 229 هزار تن  و 362 میلیون تن کیلومتر</t>
  </si>
  <si>
    <t xml:space="preserve"> بارگیری مازوت از  آب نیل به کهندژ</t>
  </si>
  <si>
    <t>افزایش بارگیری  مواد معدنی از  سنگان به مجتمع فولاد خراسان به میزان 220 هزار تن  و 72 میلیون تن کیلومتر</t>
  </si>
  <si>
    <t xml:space="preserve"> بارگیری گازوئيل از  بندرعباس به شهید مطهری</t>
  </si>
  <si>
    <t>افزایش بارگیری  گندله آهن از  مجتمع سنگان به مجتمع فولاد مبارکه به میزان 262 هزار تن  و 317 میلیون تن کیلومتر</t>
  </si>
  <si>
    <t xml:space="preserve"> بارگیری مواد معدني از  بیشه در به گل گهر</t>
  </si>
  <si>
    <t>افزایش بارگیری  مواد معدنی از  چادرملو به مجتمع فولاد خوزستان به میزان 292 هزار تن  و 369 میلیون تن کیلومتر</t>
  </si>
  <si>
    <t xml:space="preserve"> بارگیری غلات از  بندر امام به بندر امام</t>
  </si>
  <si>
    <t xml:space="preserve"> بارگیری مواد معدني از  بیشه در به جلال آباد</t>
  </si>
  <si>
    <t xml:space="preserve"> بارگیری مواد معدني از  گل گهر به ارژنگ</t>
  </si>
  <si>
    <t xml:space="preserve"> بارگیری مازوت از  ری به دیزه رود</t>
  </si>
  <si>
    <t xml:space="preserve"> بارگیری غلات از  گرگان به کردان</t>
  </si>
  <si>
    <t xml:space="preserve"> بارگیری كود شيميايي از  مجتمع بندري کاسپين به ترکیه</t>
  </si>
  <si>
    <t xml:space="preserve"> بارگیری مواد معدني از  بیشه در به فولاد مبارکه</t>
  </si>
  <si>
    <t xml:space="preserve"> بارگیری غلات از  سنندج به نکا</t>
  </si>
  <si>
    <t xml:space="preserve"> بارگیری كنجاله/ تفاله از  بندر امام به زیاران</t>
  </si>
  <si>
    <t xml:space="preserve"> بارگیری مواد معدني از  سنگان به ارژنگ</t>
  </si>
  <si>
    <t xml:space="preserve"> بارگیری غلات از  گرگان به کرج</t>
  </si>
  <si>
    <t xml:space="preserve"> بارگیری غلات از  گرگان به اصفهان</t>
  </si>
  <si>
    <t xml:space="preserve"> بارگیری سيمان از  مجتمع سنگان به شمتیغ-افغانستان</t>
  </si>
  <si>
    <t xml:space="preserve"> بارگیری مازوت از  بندرعباس به زرند</t>
  </si>
  <si>
    <t xml:space="preserve"> بارگیری سيمان از  دو کوهه به شلمچه</t>
  </si>
  <si>
    <t xml:space="preserve"> بارگیری روغن صنعتي از  سرخس به بندرعباس</t>
  </si>
  <si>
    <t xml:space="preserve"> بارگیری مواد معدني از  جلال آباد به پورمند</t>
  </si>
  <si>
    <t xml:space="preserve"> بارگیری مواد معدني از  پورمند به زرند</t>
  </si>
  <si>
    <t xml:space="preserve"> بارگیری آهن آلات از  کرمان به ترکیه</t>
  </si>
  <si>
    <t xml:space="preserve"> افزایش بارگیری گوگرد خام از  سرخس به بندرعباس</t>
  </si>
  <si>
    <t xml:space="preserve"> افزایش بارگیری كانتينر از  بندر امام به بندر امام</t>
  </si>
  <si>
    <t xml:space="preserve"> افزایش بارگیری مواد معدني از  سنگان به ذوب آهن اصفهان</t>
  </si>
  <si>
    <t xml:space="preserve"> افزایش بارگیری مازوت از  ری به نکا</t>
  </si>
  <si>
    <t xml:space="preserve"> افزایش بارگیری مواد معدني از  مهیار به فولاد مبارکه</t>
  </si>
  <si>
    <t xml:space="preserve"> افزایش بارگیری مازوت از  آب نیل به شهید مطهری</t>
  </si>
  <si>
    <t xml:space="preserve"> افزایش بارگیری مواد معدني از  بیشه در به ارژنگ</t>
  </si>
  <si>
    <t xml:space="preserve"> افزایش بارگیری دانه هاي نباتي از  بندر امام به میاندره</t>
  </si>
  <si>
    <t xml:space="preserve"> افزایش بارگیری مازوت از  بندرعباس به شهید مطهری</t>
  </si>
  <si>
    <t xml:space="preserve"> افزایش بارگیری مازوت از  سمنگان به کهندژ</t>
  </si>
  <si>
    <t xml:space="preserve"> افزایش بارگیری آهن آلات از  فولاد مبارکه به بندرعباس</t>
  </si>
  <si>
    <t xml:space="preserve"> افزایش بارگیری مواد معدني از  بیشه در به بندرعباس</t>
  </si>
  <si>
    <t xml:space="preserve"> افزایش بارگیری مازوت كم سولفور از  سمنگان به بندرعباس</t>
  </si>
  <si>
    <t xml:space="preserve"> افزایش بارگیری مواد معدني از  سلطانیه به فولاد مبارکه</t>
  </si>
  <si>
    <t xml:space="preserve"> افزایش بارگیری آهن آلات از  شهید مطهری به سرخس</t>
  </si>
  <si>
    <t xml:space="preserve"> افزایش بارگیری مواد معدني از  سنگان به ریز</t>
  </si>
  <si>
    <t xml:space="preserve"> افزایش بارگیری چوب از  آستارا به آستارا</t>
  </si>
  <si>
    <t xml:space="preserve"> افزایش بارگیری مازوت از  تبریز به کهندژ</t>
  </si>
  <si>
    <t xml:space="preserve"> افزایش بارگیری كانتينر از  بندرعباس به کرمانشاه-باری</t>
  </si>
  <si>
    <t xml:space="preserve"> افزایش بارگیری كانتينر از  کرمانشاه-باری به بندرعباس</t>
  </si>
  <si>
    <t xml:space="preserve"> افزایش بارگیری آهن آلات از  قروه به ترکیه</t>
  </si>
  <si>
    <t xml:space="preserve"> افزایش بارگیری مواد معدني از  سنگان به فولاد مبارکه</t>
  </si>
  <si>
    <t xml:space="preserve"> افزایش بارگیری غلات از  کرمانشاه-باری به زاهدان-باری</t>
  </si>
  <si>
    <t xml:space="preserve"> افزایش بارگیری كانتينر از  آستارا به آستارا</t>
  </si>
  <si>
    <t xml:space="preserve"> افزایش بارگیری غلات از  کوریجان به زاهدان-باری</t>
  </si>
  <si>
    <t xml:space="preserve"> افزایش بارگیری كانتينر از  بندرعباس به مهاباد-آذربایجان</t>
  </si>
  <si>
    <t xml:space="preserve"> افزایش بارگیری نئوپان از  بندر امام به هفت تپه</t>
  </si>
  <si>
    <t xml:space="preserve"> افزایش بارگیری آهن آلات از  فولاد مبارکه به سیستان</t>
  </si>
  <si>
    <t xml:space="preserve"> افزایش بارگیری كانتينر از  مهاباد-آذربایجان به بندرعباس</t>
  </si>
  <si>
    <t xml:space="preserve"> افزایش بارگیری مواد معدني از  ترکیه به بناب</t>
  </si>
  <si>
    <t xml:space="preserve"> افزایش بارگیری كنجاله/ تفاله از  بندر امام به رشت</t>
  </si>
  <si>
    <t xml:space="preserve"> افزایش بارگیری مواد معدني از  ارژنگ به بندرعباس</t>
  </si>
  <si>
    <t xml:space="preserve"> افزایش بارگیری آهن آلات از  تبریز به ترکیه</t>
  </si>
  <si>
    <t xml:space="preserve"> افزایش بارگیری سيمان از  اینچه برون به اینچه برون</t>
  </si>
  <si>
    <t xml:space="preserve"> افزایش بارگیری سيمان از  تربت حیدریه به سرخس</t>
  </si>
  <si>
    <t xml:space="preserve"> افزایش بارگیری غلات از  اراک به زاهدان-باری</t>
  </si>
  <si>
    <t xml:space="preserve"> افزایش بارگیری روغن صنعتي از  ری به بندرعباس</t>
  </si>
  <si>
    <t xml:space="preserve"> افزایش بارگیری غلات از  کرمانشاه-باری به مشهد</t>
  </si>
  <si>
    <t xml:space="preserve"> افزایش بارگیری آهن آلات از  فولاد مبارکه به تپه سفید</t>
  </si>
  <si>
    <t xml:space="preserve"> افزایش بارگیری كانتينر از  بندرعباس به اینچه برون</t>
  </si>
  <si>
    <t xml:space="preserve"> افزایش بارگیری گازوئيل از  سرخس به سرخس</t>
  </si>
  <si>
    <t xml:space="preserve"> افزایش بارگیری كانتينر از  اینچه برون به بندرعباس</t>
  </si>
  <si>
    <t xml:space="preserve"> افزایش بارگیری غلات از  گرگان به یزد</t>
  </si>
  <si>
    <t xml:space="preserve"> افزایش بارگیری آهن آلات از  خرم دره به ترکیه</t>
  </si>
  <si>
    <t>اهم نقاط قابل بهبود حمل و نقل بار در سال 1403</t>
  </si>
  <si>
    <t>بسته بودن مرز سرخس  از تاریخ  01/01/99 لغایت 01/04/99 به میزان 374   هزار تن و155  میلیون تن کیلومتر</t>
  </si>
  <si>
    <t>عدم بارگیری مواد معدني از بيشه در به زرين شهر</t>
  </si>
  <si>
    <t>بسته بودن مرز اینچه برون  از تاریخ  01/01/99 لغایت 02/04/99 به میزان 80   هزار تن و14  میلیون تن کیلومتر</t>
  </si>
  <si>
    <t>عدم بارگیری سيمان از دیزیچه/چاریسه به بندرعباس</t>
  </si>
  <si>
    <t>بسته بودن مرز میرجاوه  از تاریخ  01/01/99 لغایت  19/04/99  به میزان 33   هزار تن و18  میلیون تن کیلومتر</t>
  </si>
  <si>
    <t>عدم بارگیری سيمان از باغيک به بندر امام</t>
  </si>
  <si>
    <t>عدم بارگیری از چغارت به مقاصد  از تاریخ  01/01/99 لغایت 08/01/99 به میزان 91   هزار تن و64  میلیون تن کیلومتر</t>
  </si>
  <si>
    <t>عدم بارگیری خاك/ شن/ ماسه از لوشان به پيربازار</t>
  </si>
  <si>
    <t>عدم بارگیری از چادرملو به میاندشت  از تاریخ  01/01/99 لغایت 09/01/99 به میزان 39   هزار تن و49  میلیون تن کیلومتر</t>
  </si>
  <si>
    <t>عدم بارگیری مواد معدني از پورمند/جلال آباد به زرين شهر</t>
  </si>
  <si>
    <t>عدم بارگیری از چادرملو به مبارکه  از تاریخ 01/01/99  لغایت 08/01/99 به میزان 106   هزار تن و54  میلیون تن کیلومتر</t>
  </si>
  <si>
    <t>عدم بارگیری آهن آلات از زرند به بندرعباس</t>
  </si>
  <si>
    <t>عدم بارگیری از سه چاهون به چغارت  از تاریخ  01/01/99 لغایت 08/01/99  به میزان 34   هزار تن و5  میلیون تن کیلومتر</t>
  </si>
  <si>
    <t>عدم بارگیری مازوت از ري به بندرعباس</t>
  </si>
  <si>
    <t>عدم بارگیری   مواد معدنی   از   بيشه در  به  بندرعباس  به میزان 124 هزار تن  و 80 میلیون تن کیلومتر</t>
  </si>
  <si>
    <t>عدم بارگیری مواد معدني از بيشه در به زرند</t>
  </si>
  <si>
    <t>عدم بارگیری مواد معدنی  از   پورمند  به  ريز  به میزان 92 هزار تن  و 61 میلیون تن کیلومتر</t>
  </si>
  <si>
    <t>عدم بارگیری مواد معدني از پورمند/جلال آباد به فولاد خراسان</t>
  </si>
  <si>
    <t>عدم بارگیری مواد معدنی  از   جلال آباد  به  پولاد  به میزان 86 هزار تن  و 53 میلیون تن کیلومتر</t>
  </si>
  <si>
    <t>عدم بارگیری خاك/ شن/ ماسه از کوهين به رشت</t>
  </si>
  <si>
    <t>عدم بارگیری مواد معدنی  از   احيا  به  قم  به میزان 53 هزار تن  و 66 میلیون تن کیلومتر</t>
  </si>
  <si>
    <t>عدم بارگیری مواد معدني از سنگان به بندر امام</t>
  </si>
  <si>
    <t>کاهش بارگیری  مواد معدنی از  مبادی به بندرعباس به میزان 2152 هزار تن  و 2197 میلیون تن کیلومتر</t>
  </si>
  <si>
    <t>عدم بارگیری مواد معدني از سنگان به زرند</t>
  </si>
  <si>
    <t>کاهش بارگیری  مواد معدنی از  گل گهر به مجتمع فولاد خراسان به میزان 135 هزار تن  و 159 میلیون تن کیلومتر</t>
  </si>
  <si>
    <t>عدم بارگیری كنجاله/ تفاله از آستارا-آذربايجان به آستارا</t>
  </si>
  <si>
    <t>عدم بارگیری   دانه  هاي  نباتي  و روغني  از   بندرامام خميني  به  بندرتركمن، پل سفید، گرگان و غیره  به میزان 78 هزار تن  و 105 میلیون تن کیلومتر</t>
  </si>
  <si>
    <t>عدم بارگیری مواد معدني از گل گهر به زرين شهر</t>
  </si>
  <si>
    <t>عدم بارگیری  نفت كوره (مازوت)  از   سرخس  به  بندرعباس  به میزان 69 هزار تن  و 112 میلیون تن کیلومتر</t>
  </si>
  <si>
    <t>عدم بارگیری غلات از سيوند به كرج</t>
  </si>
  <si>
    <t>کاهش بارگیری  نفت کوره از  آبنیل به بندرعباس به میزان 183 هزار تن  و 192 میلیون تن کیلومتر</t>
  </si>
  <si>
    <t>عدم بارگیری غلات از سيوند به كردان</t>
  </si>
  <si>
    <t>عدم بارگیری  جو  از   بندرامام خميني  به  مشک آباد، خرم دره، تربت و غیره  به میزان 57 هزار تن  و 62 میلیون تن کیلومتر</t>
  </si>
  <si>
    <t>عدم بارگیری مواد معدني از رشتخوار به زرين شهر</t>
  </si>
  <si>
    <t>کاهش بارگیری  سیمان از  تربت حيدريه به مقاصد به میزان 173 هزار تن  و 56 میلیون تن کیلومتر</t>
  </si>
  <si>
    <t>عدم بارگیری مس ته پاتيلي از خاتون آباد به بندرعباس</t>
  </si>
  <si>
    <t>کاهش بارگیری  سیمان از  شهيد مطهري به مقاصد به میزان 147 هزار تن  و 23 میلیون تن کیلومتر</t>
  </si>
  <si>
    <t>عدم بارگیری غلات از سيوند به رباط كريم</t>
  </si>
  <si>
    <t>عدم بارگیری سيمان از شاهرود به بندر امير آباد</t>
  </si>
  <si>
    <t>عدم بارگیری آجر/ كاشي/ سراميك از مشهد به سرخس تركمنستان</t>
  </si>
  <si>
    <t>عدم بارگیری اقلام متفرقه از مشهد به سرخس تركمنستان</t>
  </si>
  <si>
    <t>عدم بارگیری آهن آلات از گندله سازي اردکان به بندرعباس</t>
  </si>
  <si>
    <t>کاهش بارگیری مواد معدني از چادرملو به گندله سازي اردکان</t>
  </si>
  <si>
    <t>کاهش بارگیری مازوت از آب نيل به بندرعباس</t>
  </si>
  <si>
    <t>کاهش بارگیری مواد معدني از پورمند/جلال آباد به بندرعباس</t>
  </si>
  <si>
    <t>کاهش بارگیری مواد معدني از سه چاهون به چغارت</t>
  </si>
  <si>
    <t>کاهش بارگیری مواد معدني از چادرملو به مياندشت</t>
  </si>
  <si>
    <t>کاهش بارگیری مواد معدني از گل گهر به بندرعباس</t>
  </si>
  <si>
    <t>کاهش بارگیری آهن آلات از مياندشت به بندر امام</t>
  </si>
  <si>
    <t>کاهش بارگیری مازوت از سمنگان به ماهشهر</t>
  </si>
  <si>
    <t>کاهش بارگیری مواد معدني از سنگان به پورمند/جلال آباد</t>
  </si>
  <si>
    <t>کاهش بارگیری مازوت از ري به شهيد مطهري</t>
  </si>
  <si>
    <t>کاهش بارگیری مواد معدني از گل گهر به حسن آباد/ريز</t>
  </si>
  <si>
    <t>کاهش بارگیری مواد معدني از تزرج به زرين شهر</t>
  </si>
  <si>
    <t>کاهش بارگیری مواد معدني از سنگان به فولاد خراسان</t>
  </si>
  <si>
    <t>کاهش بارگیری مواد معدني از گندله سازي اردکان به زرين شهر</t>
  </si>
  <si>
    <t>کاهش بارگیری مواد معدني از سنگان به بندرعباس</t>
  </si>
  <si>
    <t>کاهش بارگیری سيمان از درود به شلمچه</t>
  </si>
  <si>
    <t>کاهش بارگیری خاك/ شن/ ماسه از لوشان به رشت</t>
  </si>
  <si>
    <t>کاهش بارگیری غلات از بندر امام به كرج</t>
  </si>
  <si>
    <t>کاهش بارگیری مواد معدني از چادرملو به حسن آباد/ريز</t>
  </si>
  <si>
    <t>کاهش بارگیری زغال سنگ و:. از زغال سنگ پروده به زرين شهر</t>
  </si>
  <si>
    <t>کاهش بارگیری سنگ آهك از آب نيل به زرين شهر</t>
  </si>
  <si>
    <t>کاهش بارگیری مواد معدني از پورمند/جلال آباد به زرند</t>
  </si>
  <si>
    <t>کاهش بارگیری مواد معدني از سنگان به اسفراين</t>
  </si>
  <si>
    <t>کاهش بارگیری مازوت از ري به كهندژ</t>
  </si>
  <si>
    <t>کاهش بارگیری مواد معدني از بيشه در به بندرعباس</t>
  </si>
  <si>
    <t>کاهش بارگیری سيمان از دیزیچه/چاریسه به شلمچه</t>
  </si>
  <si>
    <t>کاهش بارگیری كانتينر از سمنان به بندرعباس</t>
  </si>
  <si>
    <t>کاهش بارگیری زغال سنگ و:. از بندر امام به زرين شهر</t>
  </si>
  <si>
    <t>کاهش بارگیری غلات از بندر امام به رباط كريم</t>
  </si>
  <si>
    <t>کاهش بارگیری بنزين از سرخس تركمنستان به سرخس</t>
  </si>
  <si>
    <t>کاهش بارگیری مواد معدني از سنگان به مشك</t>
  </si>
  <si>
    <t>کاهش بارگیری غلات از بندرعباس به مشهد</t>
  </si>
  <si>
    <t>کاهش بارگیری سيمان از شهيد مطهري به سرخس تركمنستان</t>
  </si>
  <si>
    <t>کاهش بارگیری آهن آلات از زرين شهر به نقده</t>
  </si>
  <si>
    <t>کاهش بارگیری آهن آلات از اشكذر به بندرعباس</t>
  </si>
  <si>
    <t>کاهش بارگیری زغال سنگ و:. از زرين به زرين شهر</t>
  </si>
  <si>
    <t>کاهش بارگیری غلات از آستارا-آذربايجان به آستارا</t>
  </si>
  <si>
    <t>کاهش بارگیری غلات از بندر امام به كردان</t>
  </si>
  <si>
    <t>کاهش بارگیری آهن آلات از فولاد خراسان به بندرعباس</t>
  </si>
  <si>
    <t>کاهش بارگیری آهن آلات از حسن آباد/ريز به اپرين</t>
  </si>
  <si>
    <t>کاهش بارگیری مواد معدني از چادرملو به بندرعباس</t>
  </si>
  <si>
    <t>کاهش بارگیری سيمان از درود به بندر امام</t>
  </si>
  <si>
    <t>کاهش بارگیری مواد معدني از چادرملو به زرين شهر</t>
  </si>
  <si>
    <t>کاهش بارگیری اقلام متفرقه از زاهدان به مزارآب</t>
  </si>
  <si>
    <t>کاهش بارگیری مواد شيميايي از آستارا به آستارا-آذربايجان</t>
  </si>
  <si>
    <t>کاهش بارگیری غلات از بندر امام به اصفهان</t>
  </si>
  <si>
    <t>کاهش بارگیری غلات از بندر امام به نكا</t>
  </si>
  <si>
    <t>کاهش بارگیری آهن آلات از بندرعباس به كهندژ</t>
  </si>
  <si>
    <t>کاهش بارگیری ادوات ريلي از زاهدان به رودشور-جنوب شرق</t>
  </si>
  <si>
    <t>کاهش بارگیری مواد شيميايي از سرخس تركمنستان به بندرعباس</t>
  </si>
  <si>
    <t>کاهش بارگیری زغال سنگ و:. از بندر امير آباد به زرين شهر</t>
  </si>
  <si>
    <t>کاهش بارگیری كانتينر از اصفهان به بندرعباس</t>
  </si>
  <si>
    <t>کاهش بارگیری مواد غذايي از آستارا-آذربايجان به آستارا</t>
  </si>
  <si>
    <t>کاهش بارگیری كانتينر از بندرعباس به سرخس تركمنستان</t>
  </si>
  <si>
    <t>کاهش بارگیری گازوئيل از بندرعباس به يزد</t>
  </si>
  <si>
    <t>کاهش بارگیری آهن آلات از حسن آباد/ريز به انجيلاوند</t>
  </si>
  <si>
    <t>کاهش بارگیری روغن خوراكي از بندر امام به نيك پسندي</t>
  </si>
  <si>
    <t>کاهش بارگیری غلات از بندر امام به اراك</t>
  </si>
  <si>
    <t>کاهش بارگیری غلات از بندر امام به صوفيان</t>
  </si>
  <si>
    <t>کاهش بارگیری گازوئيل از سرخس تركمنستان به شهيد مطهري</t>
  </si>
  <si>
    <t>کاهش بارگیری دانه هاي نباتي از بندر امام به سربندر</t>
  </si>
  <si>
    <t>کاهش بارگیری آهن آلات از حسن آباد/ريز به فيروزه</t>
  </si>
  <si>
    <t>کاهش بارگیری كود شيميايي از سرخس تركمنستان به شهيد مطهري</t>
  </si>
  <si>
    <t>کاهش بارگیری غلات از بندر امام به تاكستان</t>
  </si>
  <si>
    <t>کاهش بارگیری اقلام متفرقه از آستارا به آستارا-آذربايجان</t>
  </si>
  <si>
    <t>کاهش بارگیری غلات از بندر امام به رشت</t>
  </si>
  <si>
    <t xml:space="preserve"> جدول شماره 92 - عملكرد هزينه هاي واحدهاي مختلف به تفكيك نوع در سال1403</t>
  </si>
  <si>
    <t xml:space="preserve"> (میلیون ریال)</t>
  </si>
  <si>
    <t xml:space="preserve">عملیاتی </t>
  </si>
  <si>
    <t xml:space="preserve">اداري </t>
  </si>
  <si>
    <t>بازرگاني</t>
  </si>
  <si>
    <t>ديون</t>
  </si>
  <si>
    <t>جمع هزينه هاي نقدي و جنسی</t>
  </si>
  <si>
    <t>درصد از كل</t>
  </si>
  <si>
    <t xml:space="preserve">استهلاك </t>
  </si>
  <si>
    <t>04-اداره کل راه آهن جنوب</t>
  </si>
  <si>
    <t>05- اداره کل راه آهن اصفهان</t>
  </si>
  <si>
    <t>01- اداره کل راه آهن تهران</t>
  </si>
  <si>
    <t>15- اداره کل راه آهن کرمان</t>
  </si>
  <si>
    <t>19- اداره کل راه آهن قم</t>
  </si>
  <si>
    <t>18- اداره کل راه آهن شمال (2)</t>
  </si>
  <si>
    <t>54-اداره کل خدمات ساختمانی و ایستگاهی</t>
  </si>
  <si>
    <t>08- اداره کل راه آهن شمالشرق ( 1 )</t>
  </si>
  <si>
    <t>02- اداره کل راه آهن اراک</t>
  </si>
  <si>
    <t>10- اداره کل راه آهن شمالغرب</t>
  </si>
  <si>
    <t>56- اداره امور مالی ادارات مرکزی</t>
  </si>
  <si>
    <t>55- اداره کل ارتباطات وعلایم الکتریکی</t>
  </si>
  <si>
    <t>03- اداره کل راه آهن زاگرس</t>
  </si>
  <si>
    <t>17-اداره کل راه آهن لرستان</t>
  </si>
  <si>
    <t>14- اداره کل راه آهن شرق ( طبس)</t>
  </si>
  <si>
    <t>12- اداره کل راه آهن شمال</t>
  </si>
  <si>
    <t>13- اداره کل راه آهن هرمزگان</t>
  </si>
  <si>
    <t>16- اداره کل راه آهن فارس</t>
  </si>
  <si>
    <t>64- اداره کل نیروی کشش</t>
  </si>
  <si>
    <t>09- اداره کل راه آهن خراسان</t>
  </si>
  <si>
    <t>07- اداره کل راه آهن جنوبشرق(زاهدان)</t>
  </si>
  <si>
    <t>51 -اداره کل خط و سازه‌های فنی</t>
  </si>
  <si>
    <t>06- اداره کل راه آهن یزد</t>
  </si>
  <si>
    <t>20- اداره کل راه آهن شمالشرق (2)</t>
  </si>
  <si>
    <t>11- اداره کل راه آهن آذربایجان</t>
  </si>
  <si>
    <t>65- اداره کل واگنهای باری</t>
  </si>
  <si>
    <t>توضیحات : اطلاعات جدول فوق بر اساس سیستم حسابداری شرکت راه آهن تهیه شده است .</t>
  </si>
  <si>
    <t>ماخذ :  اداره كل امور مالي و اموال</t>
  </si>
  <si>
    <t>جدول شماره93 - عملكرد هزينه ها به تفكيك نوع در سال 1403</t>
  </si>
  <si>
    <t>(ميليون ريال)</t>
  </si>
  <si>
    <t>عملياتي</t>
  </si>
  <si>
    <t>اداري</t>
  </si>
  <si>
    <t xml:space="preserve">حقوق و دستمزد و مزايا </t>
  </si>
  <si>
    <t xml:space="preserve">بيمه سهم كارفرما و بيمه بيكاري </t>
  </si>
  <si>
    <t xml:space="preserve">مزاياي پايان خدمت </t>
  </si>
  <si>
    <t>ملبوس</t>
  </si>
  <si>
    <t>اياب و ذهاب</t>
  </si>
  <si>
    <t xml:space="preserve">هزينه تعمير و نگهداري </t>
  </si>
  <si>
    <t>سوخت وسائل و ماشين الات</t>
  </si>
  <si>
    <t>هزينه لوازم مصرفي اداري و نوشت افزار</t>
  </si>
  <si>
    <t xml:space="preserve">هزينه آب . برق </t>
  </si>
  <si>
    <t>هزينه پست . تلفن . تلگراف</t>
  </si>
  <si>
    <t>هزينه اجاره</t>
  </si>
  <si>
    <t>عوارض و ماليات</t>
  </si>
  <si>
    <t>مطبوعات اداري ( چاپ و تكثير )</t>
  </si>
  <si>
    <t>هزينه جشن وپذيرايي</t>
  </si>
  <si>
    <t>هزينه خدمات قراردادي</t>
  </si>
  <si>
    <t>حق الزحمه حسابرسي</t>
  </si>
  <si>
    <t>هزينه هاي نرم افزاري</t>
  </si>
  <si>
    <t>حق الزحمه حقوقي</t>
  </si>
  <si>
    <t xml:space="preserve">هزينه حمل و نقل اداري </t>
  </si>
  <si>
    <t xml:space="preserve">هزينه هاي آگهي و تبليغات </t>
  </si>
  <si>
    <t>لوازم يدكي وسائط نقليه</t>
  </si>
  <si>
    <t xml:space="preserve">بيمه وسائط ساختمان ، تاسیسات ، ماشین آلات و و سائط نقلیه </t>
  </si>
  <si>
    <t>روغن هاي مختلف لكو موتيو و غیره</t>
  </si>
  <si>
    <t xml:space="preserve">كمك هزينه بهداشتي و درماني </t>
  </si>
  <si>
    <t>هزينه هاي ورزش</t>
  </si>
  <si>
    <t>مواد پاك كننده و لوازم تنظيف</t>
  </si>
  <si>
    <t>ابزار كار و لوازم آزمايشگاه</t>
  </si>
  <si>
    <t>كمك هزينه غذا و شير</t>
  </si>
  <si>
    <t>ساير هزينه ها</t>
  </si>
  <si>
    <t>هزینه مالی</t>
  </si>
  <si>
    <t>پرداخت قانونی به بازنشستگان</t>
  </si>
  <si>
    <t>حق توقف واگن ها</t>
  </si>
  <si>
    <t>استهلاك داراييهاي ثابت مشهود</t>
  </si>
  <si>
    <t>کمک زیان بخش مسافری</t>
  </si>
  <si>
    <t>بلیط اداری</t>
  </si>
  <si>
    <t xml:space="preserve">     توضیحات : اطلاعات ارائه شده در جدول فوق بر اساس سیستم قیمت تمام شده (هزینه یابی بر مبنای فعالیت ) تهیه شده است .</t>
  </si>
  <si>
    <t>جدول شماره94 - جمع هزينه هاي جاري راه آهن در سال 1400</t>
  </si>
  <si>
    <t>مبلغ هزينه</t>
  </si>
  <si>
    <t>هزينه هاي عملياتي</t>
  </si>
  <si>
    <t xml:space="preserve">هزينه هاي اداري </t>
  </si>
  <si>
    <t>هزينه هاي بازرگاني</t>
  </si>
  <si>
    <t>هزينه هاي استهلاك</t>
  </si>
  <si>
    <t>هزينه هاي مالي *</t>
  </si>
  <si>
    <t xml:space="preserve">  *  هزينه هاي مالي شامل هزينه هايي است كه به واسطه پرداخت سود اوراق قرضه و مشاركت و همچنين بهره تسهیلات دريافتي به شركت تحميل مي گردد.</t>
  </si>
  <si>
    <t xml:space="preserve">      ماخذ : اداره كل امور مالي واموال</t>
  </si>
  <si>
    <t>جدول شماره 80 - درآمد حمل بار به تفكيك ماه و مناطق در سال 1403</t>
  </si>
  <si>
    <t>درآمدداخلي</t>
  </si>
  <si>
    <t>درآمدخارجي</t>
  </si>
  <si>
    <t>وارده وصادره</t>
  </si>
  <si>
    <t>ترانزيت</t>
  </si>
  <si>
    <t>جدول شماره 81 - درآمد حمل بار ترانزيت به تفکیک ماه و مناطق درسال 1403</t>
  </si>
  <si>
    <t>(هزار ريال)</t>
  </si>
  <si>
    <t>ماخذ : سيستم مكانيزه بارنامه بين الملل (اداره کل امور مالي و اموال)</t>
  </si>
  <si>
    <t>جدول شماره 82 - درآمد حمل بارترانزیت درسال1403 و مقايسه آن با سال قبل</t>
  </si>
  <si>
    <t>ماخذ : سيستم مكانيزه بارنامه بين الملل ( اداره کل امور مالي و اموال)</t>
  </si>
  <si>
    <t>جدول شماره85 - درآمد وارده و صادره به تفكيك ماه و مناطق در سال 1403</t>
  </si>
  <si>
    <t>جدول شماره 86 - درآمد كل  ایجادشده حمل بار به تفكيك ماه و مناطق در سال 1403</t>
  </si>
  <si>
    <t>جدول شماره 89 - سایر درآمدها به تفكيك ادارات كل در سال 1403</t>
  </si>
  <si>
    <t>درآمد اجاره داراييها</t>
  </si>
  <si>
    <t>درآمد تامين نيروي كشش(مسافري)</t>
  </si>
  <si>
    <t>ساير درآمدهاي غير عملياتي</t>
  </si>
  <si>
    <t>ساير درآمدهاي عملياتي</t>
  </si>
  <si>
    <t xml:space="preserve"> اداره کل راه آهن تهران</t>
  </si>
  <si>
    <t xml:space="preserve"> اداره کل راه آهن اراک</t>
  </si>
  <si>
    <t xml:space="preserve"> اداره کل راه آهن زاگرس </t>
  </si>
  <si>
    <t>اداره کل راه آهن جنوب</t>
  </si>
  <si>
    <t xml:space="preserve"> اداره کل راه آهن اصفهان</t>
  </si>
  <si>
    <t xml:space="preserve"> اداره کل راه آهن يزد</t>
  </si>
  <si>
    <t xml:space="preserve"> اداره کل راه آهن جنوبشرق</t>
  </si>
  <si>
    <t xml:space="preserve"> اداره کل راه آهن شمالشرق ( 1 )</t>
  </si>
  <si>
    <t xml:space="preserve"> اداره کل راه آهن خراسان</t>
  </si>
  <si>
    <t xml:space="preserve"> اداره کل راه آهن شمالغرب</t>
  </si>
  <si>
    <t xml:space="preserve"> اداره کل راه آهن آذربايجان</t>
  </si>
  <si>
    <t xml:space="preserve"> اداره کل راه آهن شمال</t>
  </si>
  <si>
    <t xml:space="preserve"> اداره کل راه آهن هرمزگان</t>
  </si>
  <si>
    <t xml:space="preserve"> اداره کل راه آهن شرق </t>
  </si>
  <si>
    <t xml:space="preserve"> اداره کل راه آهن کرمان</t>
  </si>
  <si>
    <t xml:space="preserve"> اداره کل راه آهن فارس</t>
  </si>
  <si>
    <t xml:space="preserve">اداره کل راه آهن لرستان </t>
  </si>
  <si>
    <t xml:space="preserve">اداره کل راه آهن شمال (2) </t>
  </si>
  <si>
    <t xml:space="preserve"> اداره كل راه آهن قم</t>
  </si>
  <si>
    <t xml:space="preserve"> اداره كل راه آهن شمالشرق (2)</t>
  </si>
  <si>
    <t xml:space="preserve"> اداره کل خط و سازه هاي فني</t>
  </si>
  <si>
    <t>اداره کل ساختمان و تاسيسات</t>
  </si>
  <si>
    <t xml:space="preserve"> اداره کل ارتباطات وعلايم الکتريکي</t>
  </si>
  <si>
    <t xml:space="preserve"> اداره کل نيروي کشش</t>
  </si>
  <si>
    <t xml:space="preserve"> اداره کل واگنها</t>
  </si>
  <si>
    <t xml:space="preserve"> اداره امور مالي ادارات مرکزي</t>
  </si>
  <si>
    <t>ساير درآمد هاي عملياتي شامل تعويض بوژي، در آمدهاي متفرقه و سايردرآمدهاي غير عملياتي شامل اجاره خطوط تلفن، منازل سازماني، جرايم، فروش وسايط نقليه و ... مي باشد0</t>
  </si>
  <si>
    <t xml:space="preserve">ماخذ : اداره کل امور مالي و اموال </t>
  </si>
  <si>
    <t>جدول شماره 50 - آمار مصرف سوخت گازوئیل در سالهای 1402-1403 (هزار لیتر )</t>
  </si>
  <si>
    <t>مصارف لکوموتیوها</t>
  </si>
  <si>
    <t>خودکشش</t>
  </si>
  <si>
    <t xml:space="preserve">مصارف مولد </t>
  </si>
  <si>
    <t>موتورخانه و تاسیسات</t>
  </si>
  <si>
    <t xml:space="preserve">ماشین آلات مکانیزه ریلی </t>
  </si>
  <si>
    <t>مصارف استیم</t>
  </si>
  <si>
    <t xml:space="preserve">سایر مصارف </t>
  </si>
  <si>
    <t xml:space="preserve">جمع کل </t>
  </si>
  <si>
    <t xml:space="preserve">ماخذ :  اداره كل تدارکات و پشتیبانی (سیستم مکانیزه انبارها )
</t>
  </si>
  <si>
    <t>جدول شماره 49 - آمارمصرف سوخت گازوئيل توسط لکوموتیوها  درسال 1403 و مقايسه آن با سال قبل</t>
  </si>
  <si>
    <t>(هزار ليتر)</t>
  </si>
  <si>
    <t>مناطق</t>
  </si>
  <si>
    <t xml:space="preserve"> کرمان</t>
  </si>
  <si>
    <t xml:space="preserve"> لکوموتیو کرج</t>
  </si>
  <si>
    <t xml:space="preserve"> تهران</t>
  </si>
  <si>
    <t>شمال 1</t>
  </si>
  <si>
    <t>ماخذ :  اداره كل تدارکات و پشتیبانی (سیستم مکانیزه انبارها )</t>
  </si>
  <si>
    <t>جنوب شرق</t>
  </si>
  <si>
    <t xml:space="preserve">تهران </t>
  </si>
  <si>
    <t xml:space="preserve">شمال </t>
  </si>
  <si>
    <t xml:space="preserve">خراسان </t>
  </si>
  <si>
    <t xml:space="preserve">شمالغرب </t>
  </si>
  <si>
    <t xml:space="preserve">آذربايجان </t>
  </si>
  <si>
    <t xml:space="preserve">هرمزگان </t>
  </si>
  <si>
    <t xml:space="preserve">جنوبشرق </t>
  </si>
  <si>
    <t xml:space="preserve">فارس </t>
  </si>
  <si>
    <t xml:space="preserve">قم </t>
  </si>
  <si>
    <t>واحدهاي سازماني</t>
  </si>
  <si>
    <t>جنسيت</t>
  </si>
  <si>
    <t>وضعيت اشتغال كاركنان</t>
  </si>
  <si>
    <t>نوع خدمت</t>
  </si>
  <si>
    <t>وضعيت تحصيلي كاركنان</t>
  </si>
  <si>
    <t>پيماني</t>
  </si>
  <si>
    <t>قرارداد معين مشخص</t>
  </si>
  <si>
    <t>ساعتي</t>
  </si>
  <si>
    <t>ثابت شركتي</t>
  </si>
  <si>
    <t>روزمزد</t>
  </si>
  <si>
    <t>رسمي</t>
  </si>
  <si>
    <t>کارگری موقت</t>
  </si>
  <si>
    <t>جمع شاغلين</t>
  </si>
  <si>
    <t>دكترا</t>
  </si>
  <si>
    <t>كارشناسي ارشد</t>
  </si>
  <si>
    <t>كارشناسي</t>
  </si>
  <si>
    <t>كارداني</t>
  </si>
  <si>
    <t>ديپلم</t>
  </si>
  <si>
    <t>سوم راهنمايي</t>
  </si>
  <si>
    <t>پایان ابتدايي وكمتر</t>
  </si>
  <si>
    <t>حوزه مديرعامل</t>
  </si>
  <si>
    <t>مرد</t>
  </si>
  <si>
    <t>زن</t>
  </si>
  <si>
    <t>غير رسمي</t>
  </si>
  <si>
    <t>حوزه معاونين راه آهن</t>
  </si>
  <si>
    <t>دفتر مديرعامل و مديريت عملکرد</t>
  </si>
  <si>
    <t>گزينش  حمل و نقل ريلي</t>
  </si>
  <si>
    <t>ذيحسابي طرحهاي عمراني</t>
  </si>
  <si>
    <t>اداره کل حراست</t>
  </si>
  <si>
    <t>دفترحقوقي</t>
  </si>
  <si>
    <t>اداره كل ايمني ونظارت برشبکه</t>
  </si>
  <si>
    <t xml:space="preserve">پروژه اجرایی طرح تحول سازمانی </t>
  </si>
  <si>
    <t>دفتر  امور بين الملل</t>
  </si>
  <si>
    <t>دفتر تنظيم گري ضوابط و مقررات</t>
  </si>
  <si>
    <t>دفترروابط عمومي</t>
  </si>
  <si>
    <t>دفتربرنامه ريزي وبودجه</t>
  </si>
  <si>
    <t xml:space="preserve">معاونت تامین سرمایه و اقتصاد حمل و نقل </t>
  </si>
  <si>
    <t>معاونت تامین  سرمايه و اقتصاد حمل و نقل :</t>
  </si>
  <si>
    <t>دفتر سرمايه گذاري و اقتصاد حمل و نقل</t>
  </si>
  <si>
    <t>دفتر هوشمند سازي و داده كاوي</t>
  </si>
  <si>
    <t>مرکز توسعه، آموزش و فناوري</t>
  </si>
  <si>
    <t>معاونت فنی و زيربنايي :</t>
  </si>
  <si>
    <t>دفترمهندسي ونظارت تاسيسات زيربنايي</t>
  </si>
  <si>
    <t>اداره كل خط و سازه هاي فني</t>
  </si>
  <si>
    <t>اداره كل ارتباطات وعلائم الكتريكي</t>
  </si>
  <si>
    <t xml:space="preserve">طرح برقی سازی خطوط راه آهن </t>
  </si>
  <si>
    <t>پروژه خطوط سریع السیر</t>
  </si>
  <si>
    <t>معاونت ناوگان :</t>
  </si>
  <si>
    <t>اداره كل نيروي كشش</t>
  </si>
  <si>
    <t>اداره كل واگنها</t>
  </si>
  <si>
    <t>دفترمهندسي ونظارت ناوگان</t>
  </si>
  <si>
    <t>معاونت بازرگانی و بهره برداري  :</t>
  </si>
  <si>
    <t>اداره كل لجستيك</t>
  </si>
  <si>
    <t>دفتر مهندسي حمل و نقل</t>
  </si>
  <si>
    <t>اداره كل سيروحركت</t>
  </si>
  <si>
    <t>اداره کل بازرگانی خارجی و روابط بین الملل</t>
  </si>
  <si>
    <t>اداره کل بازرگاني داخلي</t>
  </si>
  <si>
    <t>معاونت مسافري:</t>
  </si>
  <si>
    <t>اداره کل برنامه ريزي و نظارت بر خدمات مسافري</t>
  </si>
  <si>
    <t>اداره کل خدمات ساختماني و ايستگاهي</t>
  </si>
  <si>
    <t xml:space="preserve">طرح بهره برداری از قطارهای حومه ای </t>
  </si>
  <si>
    <t>معاونت توسعه مديريت و منابع :</t>
  </si>
  <si>
    <t xml:space="preserve">اداره کل منابع انسانی و تشکیلات </t>
  </si>
  <si>
    <t xml:space="preserve">اداره کل  امور رفاهی و سلامت </t>
  </si>
  <si>
    <t xml:space="preserve">اداره كل امورمالي و اموال </t>
  </si>
  <si>
    <t>0-10</t>
  </si>
  <si>
    <t>10-20</t>
  </si>
  <si>
    <t xml:space="preserve">اداره كل تداركات و پشتیبانی </t>
  </si>
  <si>
    <t>20-30</t>
  </si>
  <si>
    <t>30به بالا</t>
  </si>
  <si>
    <t>دفتر برنامه ریزی راه بردی و توسعه فناوری</t>
  </si>
  <si>
    <t>جمع كل واحدهاي مركز</t>
  </si>
  <si>
    <t xml:space="preserve">جمع كل </t>
  </si>
  <si>
    <t>توضیح :آمار مربوط به کارخانجات تعمیرات لکوموتیو بافق و اداره کل کارخانجات بازسازی لکوموتیو کرج در آمار اداره کل نیروی کشش منظور گردیده است .</t>
  </si>
  <si>
    <t>در سيستم مكانيزه پرسنلي ، مدرك تحصيلي 3 نفر از كاركنان ادارات كل ودفاتر مركزي نامشخص مي باشد.</t>
  </si>
  <si>
    <t>جدول شماره 74 - وضعيت كاركنان ادارات كل مناطق راه آهن در پايان سال 1403</t>
  </si>
  <si>
    <t>پیمانی</t>
  </si>
  <si>
    <t>قراردادمعین مشخص</t>
  </si>
  <si>
    <t>ساعتی</t>
  </si>
  <si>
    <t xml:space="preserve">کارگری موقت </t>
  </si>
  <si>
    <t>غيررسمي</t>
  </si>
  <si>
    <t>مركز</t>
  </si>
  <si>
    <t xml:space="preserve">یزد </t>
  </si>
  <si>
    <t>كارشناسي ارشدو بالاتر</t>
  </si>
  <si>
    <t>پایان ابتدایی و کمتر</t>
  </si>
  <si>
    <t>جمع كاركنان مركز</t>
  </si>
  <si>
    <t>رسمی</t>
  </si>
  <si>
    <t>جمع كاركنان مناطق</t>
  </si>
  <si>
    <t>جمع كل كاركنان</t>
  </si>
  <si>
    <t>ماخذ : سيستم مكانيزه پرسنلی</t>
  </si>
  <si>
    <t>درصد تغييرات</t>
  </si>
  <si>
    <t>افزايش</t>
  </si>
  <si>
    <t>كاهش</t>
  </si>
  <si>
    <t xml:space="preserve"> رسمي</t>
  </si>
  <si>
    <t xml:space="preserve"> روزمزد</t>
  </si>
  <si>
    <t>عنوان دوره آموزشي</t>
  </si>
  <si>
    <t>کل نفرات</t>
  </si>
  <si>
    <t>نفر- ساعت</t>
  </si>
  <si>
    <t>تعداد کل دوره</t>
  </si>
  <si>
    <t>ضمن خدمت ( بازآموزي و ارتقايي): 
سير و حرکت-خط و ابنيه-ناوگان-علائم الکتريکي-مالي و اداري, ایمنی )</t>
  </si>
  <si>
    <t>ارتقاي ايمني ( سيار - کارگاهي-اجباري)</t>
  </si>
  <si>
    <t>ويژه شرکت ها و پيمانکاران ريلي</t>
  </si>
  <si>
    <t xml:space="preserve">فناوری اطلاعات و دولت الکترونیک </t>
  </si>
  <si>
    <t>مجري موسسات آموزشي خارج از راه آهن</t>
  </si>
  <si>
    <t>بهبود مديريت</t>
  </si>
  <si>
    <t>پدافند غير عامل</t>
  </si>
  <si>
    <t>فرهنگي - اجتماعي و ...</t>
  </si>
  <si>
    <t xml:space="preserve">تعدادگواهینامه های صادر شده </t>
  </si>
  <si>
    <t>داخل راه آهن</t>
  </si>
  <si>
    <t>خارج ازراه آهن</t>
  </si>
  <si>
    <t>فناوری اطلاعات و دولت الکترونیک</t>
  </si>
  <si>
    <t>اتمام دوره با ارائه گواهي</t>
  </si>
  <si>
    <t>اتمام دوره بدون ارائه گواهي</t>
  </si>
  <si>
    <t xml:space="preserve">ماخذ : مركز آموزش های تخصصی ریلی </t>
  </si>
  <si>
    <t xml:space="preserve">زاگرس </t>
  </si>
  <si>
    <t>تعداد بليط رايگان و قبوض صادره در قطار ، درتعداد مسافر ادارات كل مناطق مستتر مي باشد.</t>
  </si>
  <si>
    <t>ماخذ : اداره کل برنامه ریزی و نظارت بر خدمات مسافری</t>
  </si>
  <si>
    <t>01.جنوب</t>
  </si>
  <si>
    <t>02.لرستان</t>
  </si>
  <si>
    <t>03.اراك</t>
  </si>
  <si>
    <t>04.تهران</t>
  </si>
  <si>
    <t>05.شمال</t>
  </si>
  <si>
    <t>06.شمالشرق1</t>
  </si>
  <si>
    <t>07.شمالشرق2</t>
  </si>
  <si>
    <t>08.خراسان</t>
  </si>
  <si>
    <t>09.شمالغرب</t>
  </si>
  <si>
    <t>10.آذربايجان</t>
  </si>
  <si>
    <t>11.اصفهان</t>
  </si>
  <si>
    <t>12.يزد</t>
  </si>
  <si>
    <t>13.كرمان</t>
  </si>
  <si>
    <t>14.جنوبشرق</t>
  </si>
  <si>
    <t>15.هرمزگان</t>
  </si>
  <si>
    <t>16.شرق</t>
  </si>
  <si>
    <t>17.قم</t>
  </si>
  <si>
    <t>18.زاگرس</t>
  </si>
  <si>
    <t>19.فارس</t>
  </si>
  <si>
    <t>20.غرب</t>
  </si>
  <si>
    <t>21.شمال2</t>
  </si>
  <si>
    <t>Grand Total</t>
  </si>
  <si>
    <t xml:space="preserve">محور </t>
  </si>
  <si>
    <t>جنوب (خوزستان)</t>
  </si>
  <si>
    <t>شمال (گلستان)</t>
  </si>
  <si>
    <t>جنوبشرق (هرمزگان)</t>
  </si>
  <si>
    <t>قطارهاي محلي</t>
  </si>
  <si>
    <t>بین المللی</t>
  </si>
  <si>
    <t>Row Labels</t>
  </si>
  <si>
    <t>بين المللي</t>
  </si>
  <si>
    <t>گردشگري</t>
  </si>
  <si>
    <t>ماخذ: اداره کل برنامه ريزي و نظارت بر خدمات مسافري</t>
  </si>
  <si>
    <t xml:space="preserve">نوع قطار </t>
  </si>
  <si>
    <t>بین شهری</t>
  </si>
  <si>
    <t>حومه ای/ محلی</t>
  </si>
  <si>
    <t xml:space="preserve">            محور
ماه           </t>
  </si>
  <si>
    <t>جنوب
(خوزستان)</t>
  </si>
  <si>
    <t>شمال 
(گلستان)</t>
  </si>
  <si>
    <t>جنوبشرق
(هرمزگان)</t>
  </si>
  <si>
    <t>قطارهای حومه ای</t>
  </si>
  <si>
    <t>قطارهای بین المللی</t>
  </si>
  <si>
    <t>فروردین</t>
  </si>
  <si>
    <t>اردیبهشت</t>
  </si>
  <si>
    <t>تیر</t>
  </si>
  <si>
    <t>شهریور</t>
  </si>
  <si>
    <t>دی</t>
  </si>
  <si>
    <t>محور</t>
  </si>
  <si>
    <t>صندلی ایجاد شده</t>
  </si>
  <si>
    <t>مسافر جا به جا شده</t>
  </si>
  <si>
    <t>ضریب اشغال ایستا (درصد)</t>
  </si>
  <si>
    <t>جمع بین شهری</t>
  </si>
  <si>
    <t>قطارهای محلی</t>
  </si>
  <si>
    <t>صندلی کیلومتر</t>
  </si>
  <si>
    <t>نفر کیلومتر</t>
  </si>
  <si>
    <t>ضریب اشغال پویا (درصد)</t>
  </si>
  <si>
    <t>زمان سیر برنامه ای 
(ساعت)</t>
  </si>
  <si>
    <t>زمان سیر واقعی 
(ساعت)</t>
  </si>
  <si>
    <t>میانگین تاخیرات
(دقیقه)</t>
  </si>
  <si>
    <t>سرعت سیر برنامه ای 
(km/h)</t>
  </si>
  <si>
    <t>سرعت سیر واقعی 
(km/h)</t>
  </si>
  <si>
    <t>سال1403</t>
  </si>
  <si>
    <t>سال1402</t>
  </si>
  <si>
    <t>کل</t>
  </si>
  <si>
    <t>اهم نقاط قوت عملکرد جابجایی مسافر در سال 1403</t>
  </si>
  <si>
    <t>1-راه اندازی مسیرهای جدید تهران-وان، خاوران - مشهد ، گردشگری تهران - شیرگاه  و تهران - کاشان</t>
  </si>
  <si>
    <t>2- راه اندازی رام دوم قطار کرمانشاه - مشهد ، تهران مراغه - ارومیه و همچنین ترنست تهران - مشهد و تهران - یزد</t>
  </si>
  <si>
    <t>3-ورود  20 واگن  نو 5 ستاره  ، 2 واگن 2 تخته و   ورود47 واگن بازسازی  شده  به شبکه حمل و نقل  ریلی مسافری</t>
  </si>
  <si>
    <t>اهم نقاط قابل بهبود مسافر در سال 1403</t>
  </si>
  <si>
    <t>1- تعداد مسافر جابجا شده در سال 1403 نسبت به سال قبل 5 درصد کاهش یافته است که علت این کاهش ، 
حذف تعداد  4510 سیر از قطارهای مسافری ناشی از کاهش آماده به کاری نیروی کشش بوده است.</t>
  </si>
  <si>
    <t>2-ثبت مکانیزه آمار جابجایی مسافر حومه ای</t>
  </si>
  <si>
    <t>جدول شماره 100 - تعداد مسافر و نفرکيلومتر به تفکيک شرکتها در سال 1403</t>
  </si>
  <si>
    <t>نام شرکت</t>
  </si>
  <si>
    <t>نفر کيلومتر پيموده شده</t>
  </si>
  <si>
    <t xml:space="preserve">حمل و نقل ریلی  رجاء </t>
  </si>
  <si>
    <t>راه آهن</t>
  </si>
  <si>
    <t>بن ريل(راه آهن بنياد)</t>
  </si>
  <si>
    <t>جوپار</t>
  </si>
  <si>
    <t>مهتاب سير جم</t>
  </si>
  <si>
    <t>ريل ترابر سبا</t>
  </si>
  <si>
    <t>ريل پرداز نوآفرين</t>
  </si>
  <si>
    <t>ريل سير كوثر</t>
  </si>
  <si>
    <t>نورالرضا</t>
  </si>
  <si>
    <t>پارس لاریم</t>
  </si>
  <si>
    <t xml:space="preserve">ماخذ: اداره کل برنامه ریزی و نظارت بر خدمات مسافری </t>
  </si>
  <si>
    <t>جدول شماره 101  - خلاصه عملكرد جابجايي مسافر  در سال 1403</t>
  </si>
  <si>
    <t>سایر شرکتها</t>
  </si>
  <si>
    <t>شرکت رجاء</t>
  </si>
  <si>
    <t xml:space="preserve">مسافر </t>
  </si>
  <si>
    <t>هزار</t>
  </si>
  <si>
    <t>صندلي ايجاد شده</t>
  </si>
  <si>
    <t>نفر کيلومتر</t>
  </si>
  <si>
    <t>ميليون</t>
  </si>
  <si>
    <t xml:space="preserve">صندلي كيلومتر </t>
  </si>
  <si>
    <t>تعداد كل سير واقعي قطارها</t>
  </si>
  <si>
    <t>سیر</t>
  </si>
  <si>
    <t>ضريب اشغال ايستا</t>
  </si>
  <si>
    <t>درصد</t>
  </si>
  <si>
    <t>جدول شماره 102 - تعداد مسافر  به تفکيک شرکتها  و نوع قطار در سال 1403</t>
  </si>
  <si>
    <t>ردیف</t>
  </si>
  <si>
    <t>شرکت- نوع قطار</t>
  </si>
  <si>
    <t>جدول شماره 103- نفر کیلومتر مسافر  به تفکيک شرکتها  و نوع قطار در سال 1403    ارقام به هزار</t>
  </si>
  <si>
    <t>حمل و نقل ریلی رجا</t>
  </si>
  <si>
    <t>جدول شماره 104- صندلی ایجادی به تفکیک شرکت ها و نوع قطار در سال 1403</t>
  </si>
  <si>
    <t>شرکت - نوع قطار</t>
  </si>
  <si>
    <t>گردشگری</t>
  </si>
  <si>
    <t>بن ریل (راه آهن بنیاد)</t>
  </si>
  <si>
    <t>مهتاب سیر جم</t>
  </si>
  <si>
    <t>ریل ترابر سبا</t>
  </si>
  <si>
    <t>ریل پرداز نوآفرین</t>
  </si>
  <si>
    <t>رعد تبریز</t>
  </si>
  <si>
    <t xml:space="preserve">پارس لاریم </t>
  </si>
  <si>
    <r>
      <t>جدول شماره 105- صندلی کیلومتر به تفکیک شرکت ها و نوع قطار در سال 1403</t>
    </r>
    <r>
      <rPr>
        <b/>
        <sz val="10"/>
        <color theme="1"/>
        <rFont val="B Nazanin"/>
        <charset val="178"/>
      </rPr>
      <t xml:space="preserve"> (ارقام به هزار)</t>
    </r>
  </si>
  <si>
    <t>جدول شماره 106-  تعداد سیر قطار به تفکیک نوع قطار و شرکت در سال 1403</t>
  </si>
  <si>
    <t>بين شهري</t>
  </si>
  <si>
    <t>جدول شماره 102 - تعداد مسافر  به تفکيک شرکتها  و نوع قطار در سال 1402</t>
  </si>
  <si>
    <r>
      <t xml:space="preserve">جدول شماره 105- صندلی کیلومتر به تفکیک شرکت ها و نوع قطار در سال 1402             </t>
    </r>
    <r>
      <rPr>
        <b/>
        <sz val="10"/>
        <color theme="1"/>
        <rFont val="B Nazanin"/>
        <charset val="178"/>
      </rPr>
      <t xml:space="preserve">  (ارقام به هزار)</t>
    </r>
  </si>
  <si>
    <t>طول (کیلومتر)</t>
  </si>
  <si>
    <t>تهران( تهران و قم و شمال غرب)</t>
  </si>
  <si>
    <t>(تهران-پرند) _ (تهران- قم - جمکران ) _ (تهران ـ کرج ـ هشتگرد ـ قزوین. تاکستان)
 - (تهران ـ پیشوا ـ گرمسار)</t>
  </si>
  <si>
    <t>گرمسار ـ فیروزکوه</t>
  </si>
  <si>
    <t>مشهد ـ سرخس</t>
  </si>
  <si>
    <t>(تبریز ـ جلفا)-(تبریز- دانشگاه شهید مدنی)</t>
  </si>
  <si>
    <t>زاگرس و جنوب</t>
  </si>
  <si>
    <t>اندیمشک ـ اهواز</t>
  </si>
  <si>
    <t>زاگرس و لرستان</t>
  </si>
  <si>
    <t>(اندیمشک ـ دورود) - (دورود - اندیمشک)</t>
  </si>
  <si>
    <t>(خرمشهر ـ اهواز) ـ ( کارون ـ سربندر ـ ماهشهر)</t>
  </si>
  <si>
    <t>شمال 1 و شمالشرق 2</t>
  </si>
  <si>
    <t>گرگان ـ پل سفید - ( گرگان - اینچه برون )</t>
  </si>
  <si>
    <t>زاهدان - خاش</t>
  </si>
  <si>
    <t>ماخذ: طرح بهره برداری از قطارهای حومه ای</t>
  </si>
  <si>
    <r>
      <t>جمع</t>
    </r>
    <r>
      <rPr>
        <b/>
        <sz val="18"/>
        <rFont val="B Nazanin"/>
        <charset val="178"/>
      </rPr>
      <t>/</t>
    </r>
    <r>
      <rPr>
        <b/>
        <sz val="12"/>
        <rFont val="B Nazanin"/>
        <charset val="178"/>
      </rPr>
      <t>میانگین</t>
    </r>
  </si>
  <si>
    <t>جدول شماره 107- تعداد موجودی سرمایه  لکوموتيوهاي بخش خصوصي در پايان سال 1403</t>
  </si>
  <si>
    <r>
      <t>نام شركت</t>
    </r>
    <r>
      <rPr>
        <b/>
        <sz val="12"/>
        <color indexed="8"/>
        <rFont val="B Nazanin"/>
        <charset val="178"/>
      </rPr>
      <t xml:space="preserve"> </t>
    </r>
  </si>
  <si>
    <t>نوع لکوموتيو</t>
  </si>
  <si>
    <t>تعداد لکوموتيو</t>
  </si>
  <si>
    <t xml:space="preserve">مدل </t>
  </si>
  <si>
    <t xml:space="preserve"> البرز نيرو</t>
  </si>
  <si>
    <t>اصلي</t>
  </si>
  <si>
    <t>GT26CW</t>
  </si>
  <si>
    <t>CDN10</t>
  </si>
  <si>
    <t xml:space="preserve"> راهوار نیرو آریا</t>
  </si>
  <si>
    <t>CT26CW</t>
  </si>
  <si>
    <t xml:space="preserve"> الوند نیرو</t>
  </si>
  <si>
    <t>گهر ترابر سیرجان</t>
  </si>
  <si>
    <t>آذرکیا تجارت</t>
  </si>
  <si>
    <t>توکا ریل</t>
  </si>
  <si>
    <t>MAP24</t>
  </si>
  <si>
    <t>مپنا</t>
  </si>
  <si>
    <t>فولاد مبارکه</t>
  </si>
  <si>
    <t xml:space="preserve"> ریل پرداز نوآفرین</t>
  </si>
  <si>
    <t>راه آهن کشش</t>
  </si>
  <si>
    <t>DF8BI</t>
  </si>
  <si>
    <t>سیوان ترابر</t>
  </si>
  <si>
    <t>DF8DI</t>
  </si>
  <si>
    <t>نیروی کشش ریلی پرس</t>
  </si>
  <si>
    <t>جدول شماره 99  -تعداد واگنهاي مسافري به تفکيک شرکتها در پايان سال 1403</t>
  </si>
  <si>
    <t>مالک</t>
  </si>
  <si>
    <t>تعداد سالنهای خواب</t>
  </si>
  <si>
    <t>تعداد سالنهای اتوبوسی</t>
  </si>
  <si>
    <t>تعداد سالنهای خودکشش</t>
  </si>
  <si>
    <t>تعداد واگنهای خدماتی</t>
  </si>
  <si>
    <t>قطارهای مسافربری رعد تبریز</t>
  </si>
  <si>
    <t>راه آهن شرقي بنياد</t>
  </si>
  <si>
    <t>قطارهای مسافری و باری جوپار</t>
  </si>
  <si>
    <t>وانيا ريل</t>
  </si>
  <si>
    <t>راه آهن ج.ا.ا.</t>
  </si>
  <si>
    <t>حمل و نقل ریلی نورالرضا اصفهان</t>
  </si>
  <si>
    <t>ريل سير کوثر</t>
  </si>
  <si>
    <t>توسعه پیشتاز راه و شهر</t>
  </si>
  <si>
    <t>نوع لكوموتيو</t>
  </si>
  <si>
    <t>تعداد کل</t>
  </si>
  <si>
    <t>آماده به کار</t>
  </si>
  <si>
    <t>نوع بهره برداری</t>
  </si>
  <si>
    <t>G8</t>
  </si>
  <si>
    <t>مانوری</t>
  </si>
  <si>
    <t>G12</t>
  </si>
  <si>
    <t>G16</t>
  </si>
  <si>
    <t>G18W</t>
  </si>
  <si>
    <t>G22</t>
  </si>
  <si>
    <t>HD10</t>
  </si>
  <si>
    <t>اصلی</t>
  </si>
  <si>
    <t>ER24PC</t>
  </si>
  <si>
    <t>AD43C</t>
  </si>
  <si>
    <t>GE</t>
  </si>
  <si>
    <t>RC4</t>
  </si>
  <si>
    <t>LDE626</t>
  </si>
  <si>
    <t>LDE2100</t>
  </si>
  <si>
    <t>البرز نیرو</t>
  </si>
  <si>
    <t>الوند نیرو</t>
  </si>
  <si>
    <t>راهوار نیرو</t>
  </si>
  <si>
    <t>تعداد کل بر اساس آخرین روز اسفند محاسبه شده است.</t>
  </si>
  <si>
    <t>جدول شماره 93 - تعميرات انجام شده واگن هاي مسافري درسال1403  و مقايسه آن با سال قبل</t>
  </si>
  <si>
    <t>تعميرات اساسي</t>
  </si>
  <si>
    <t>بازديد ساليانه</t>
  </si>
  <si>
    <t>تعمیرات بازسازی</t>
  </si>
  <si>
    <t>جدول شماره 94 - انواع تعميرات واگن های مسافري در ادارات كل مناطق راه آهن در سال 1403</t>
  </si>
  <si>
    <t>واحد تعمير كننده</t>
  </si>
  <si>
    <t>تعمير اساسي</t>
  </si>
  <si>
    <t xml:space="preserve">تعمير ساليانه </t>
  </si>
  <si>
    <t>بازسازی</t>
  </si>
  <si>
    <t>شمال شرق 1</t>
  </si>
  <si>
    <t>شمال شرق 2</t>
  </si>
  <si>
    <t>شمال غرب</t>
  </si>
  <si>
    <t>ماخذ :اداره کل واگنها</t>
  </si>
  <si>
    <t>جدول شماره 95 - تعداد سالن هاي مسافري در سال 1403</t>
  </si>
  <si>
    <t>به ماخذ اسفندماه</t>
  </si>
  <si>
    <t>مالكيت</t>
  </si>
  <si>
    <t>نوع کاربری</t>
  </si>
  <si>
    <t>نوع واگن</t>
  </si>
  <si>
    <t xml:space="preserve">تعداد  </t>
  </si>
  <si>
    <t xml:space="preserve"> آماده به کار</t>
  </si>
  <si>
    <t>خواب</t>
  </si>
  <si>
    <t>درجه يك</t>
  </si>
  <si>
    <t>اتوبوسی</t>
  </si>
  <si>
    <t>ریل باس ارم(درجه1)</t>
  </si>
  <si>
    <t xml:space="preserve"> رجاء</t>
  </si>
  <si>
    <t xml:space="preserve"> ترن ست پردیس( درجه 1)</t>
  </si>
  <si>
    <t>سایر مالکان</t>
  </si>
  <si>
    <t>جدول شماره 96 -  واگن هاي خدماتی در سال 1403</t>
  </si>
  <si>
    <t xml:space="preserve">تعداد </t>
  </si>
  <si>
    <t>رجاء</t>
  </si>
  <si>
    <t xml:space="preserve"> آمار ماهیانه واگن های مسافري و خودکشش در سال 1403</t>
  </si>
  <si>
    <t xml:space="preserve"> آمار ماهیانه واگنهای خدماتی  در سال 1403</t>
  </si>
  <si>
    <t xml:space="preserve">ماخذ : اداره کل واگنها </t>
  </si>
  <si>
    <t>جدول شماره 108 - تعداد واگن های باری بخش خصوصی در پایان اسفند ماه سال 1403</t>
  </si>
  <si>
    <t>مالک واگن</t>
  </si>
  <si>
    <t xml:space="preserve">       يخچال</t>
  </si>
  <si>
    <t xml:space="preserve"> حمل بالاست</t>
  </si>
  <si>
    <t>انتهاي قطار</t>
  </si>
  <si>
    <t xml:space="preserve">حمل پودر آلومينيم </t>
  </si>
  <si>
    <t>حمل غلات  ( فله بر )</t>
  </si>
  <si>
    <t>كمرشكن</t>
  </si>
  <si>
    <t xml:space="preserve">لبه بلند </t>
  </si>
  <si>
    <t>لبه بلند شش محوره</t>
  </si>
  <si>
    <t>لبه كوتاه</t>
  </si>
  <si>
    <t>مخزندار</t>
  </si>
  <si>
    <t xml:space="preserve">مسطح  </t>
  </si>
  <si>
    <t>مسطح عريض</t>
  </si>
  <si>
    <t>مسقف</t>
  </si>
  <si>
    <t>مسقف (حمل خودرو)</t>
  </si>
  <si>
    <t>احياء ريل ايرانيان</t>
  </si>
  <si>
    <t>آذر کيا تجارت</t>
  </si>
  <si>
    <t>شرکت فنی و ساختمانی آرشين کوه</t>
  </si>
  <si>
    <t xml:space="preserve">آسيا سير ارس </t>
  </si>
  <si>
    <t xml:space="preserve">آهن ريل كاران ( لوله سازی اهواز ) </t>
  </si>
  <si>
    <t>برادران مجد پور</t>
  </si>
  <si>
    <t>بوتان  ران</t>
  </si>
  <si>
    <t xml:space="preserve">بهتاش سپاهان </t>
  </si>
  <si>
    <t>بیکران قشم</t>
  </si>
  <si>
    <t>پارسيان ريل شرق</t>
  </si>
  <si>
    <t>پرتو بار فرابر خليج فارس</t>
  </si>
  <si>
    <t xml:space="preserve">پرسي ايران گاز </t>
  </si>
  <si>
    <t xml:space="preserve">پودر آلومينيم ( ايرالكو) </t>
  </si>
  <si>
    <t>پويا ترابر پيشتاز</t>
  </si>
  <si>
    <t>تجارت کوشش سپاهان</t>
  </si>
  <si>
    <t xml:space="preserve">تركيب حمل و نقل  </t>
  </si>
  <si>
    <t>تعاونی خدمات اداری فولاد یار</t>
  </si>
  <si>
    <t>سریر لجستیک هوشمند ایرانیان</t>
  </si>
  <si>
    <t xml:space="preserve"> حمل و نقل ریلی  پارسیان </t>
  </si>
  <si>
    <t>توکا کشش</t>
  </si>
  <si>
    <t xml:space="preserve">توكا ريل </t>
  </si>
  <si>
    <t>جند وجهي فولاد لجستيک</t>
  </si>
  <si>
    <t>جنرال مکانيک</t>
  </si>
  <si>
    <t>حمل و نقل ترکیبی مواد معدنی گهر ترابر سیرجان</t>
  </si>
  <si>
    <t>حمل و نقل تركيبي كشتيراني  ج.ا.ا</t>
  </si>
  <si>
    <t>حمل و نقل چند وجهی مپنا</t>
  </si>
  <si>
    <t>سینا ریل پارس</t>
  </si>
  <si>
    <t xml:space="preserve">خدمات مهندسي ساختمان و تاسيسات </t>
  </si>
  <si>
    <t xml:space="preserve">راه آهن حمل و نقل </t>
  </si>
  <si>
    <t>راه اهن شرقی بنیاد</t>
  </si>
  <si>
    <t>راهوارريل كوثر</t>
  </si>
  <si>
    <t>ريل پرداز سير</t>
  </si>
  <si>
    <t xml:space="preserve">ريل كاران ورسك   </t>
  </si>
  <si>
    <t>حمل و نقل چند وجهی سايپا لجستيك</t>
  </si>
  <si>
    <t>سپر زاوه توس</t>
  </si>
  <si>
    <t>سپهران ریل راسا</t>
  </si>
  <si>
    <t xml:space="preserve">سمند ريل </t>
  </si>
  <si>
    <t>سي بي جي</t>
  </si>
  <si>
    <t>صنايع ملي مس ايران</t>
  </si>
  <si>
    <t xml:space="preserve">فولاد خوزستان </t>
  </si>
  <si>
    <t>فولاد ریل توس</t>
  </si>
  <si>
    <t>قطارهاي مسافربري رعد تبريز</t>
  </si>
  <si>
    <t>شرکت مدیریت بین المللی همراه جاده ریل دریا</t>
  </si>
  <si>
    <t>میتالورژی ایندگمیستری پردکت پارس</t>
  </si>
  <si>
    <t>کاوش ریل راسا</t>
  </si>
  <si>
    <t>ويستا ريل پارس</t>
  </si>
  <si>
    <t>شرکت جوپار ایرانیان</t>
  </si>
  <si>
    <t>به مأخذ اسفندماه</t>
  </si>
  <si>
    <t>تعداد واگنها در پایان اسفند ماه</t>
  </si>
  <si>
    <t>منتظر تعمیر</t>
  </si>
  <si>
    <t>ظرفيت متوسط هر واگن در گردش (تن)</t>
  </si>
  <si>
    <t>ظرفيت  كل واگنها به تفكيك محور (تن)</t>
  </si>
  <si>
    <t>جمع ظرفيت كل واگنها  (تن)</t>
  </si>
  <si>
    <t>راه آهني</t>
  </si>
  <si>
    <t>خصوصي</t>
  </si>
  <si>
    <t>واگن مخصوص حمل غلات</t>
  </si>
  <si>
    <t xml:space="preserve">لبه كوتاه </t>
  </si>
  <si>
    <t>لبه بلند معدن</t>
  </si>
  <si>
    <t>مسطح</t>
  </si>
  <si>
    <t>كمر شكن</t>
  </si>
  <si>
    <t>واگن حمل بالاست</t>
  </si>
  <si>
    <t>جمع محوري</t>
  </si>
  <si>
    <t xml:space="preserve"> واگن انتهايي</t>
  </si>
  <si>
    <t xml:space="preserve">يخچال </t>
  </si>
  <si>
    <t xml:space="preserve">ماخذ: اداره كل واگنها </t>
  </si>
  <si>
    <t>جدول شماره 52 - ميزان تعميرات انجام شده واگنهاي باري در سال1403</t>
  </si>
  <si>
    <t>اساسي</t>
  </si>
  <si>
    <t>نیمه اساسی</t>
  </si>
  <si>
    <t>ويژه</t>
  </si>
  <si>
    <t xml:space="preserve">باز سازي و سانحه دیده شده </t>
  </si>
  <si>
    <t>جاری</t>
  </si>
  <si>
    <t xml:space="preserve">    آذربايجان</t>
  </si>
  <si>
    <t xml:space="preserve">    اراك</t>
  </si>
  <si>
    <t xml:space="preserve">    اصفهان</t>
  </si>
  <si>
    <t xml:space="preserve">    تهران</t>
  </si>
  <si>
    <t xml:space="preserve">    جنوب</t>
  </si>
  <si>
    <t xml:space="preserve">    جنوبشرق</t>
  </si>
  <si>
    <t xml:space="preserve">    خراسان</t>
  </si>
  <si>
    <t xml:space="preserve">    شرق</t>
  </si>
  <si>
    <t xml:space="preserve">    شمال</t>
  </si>
  <si>
    <t xml:space="preserve">    شمالشرق</t>
  </si>
  <si>
    <t xml:space="preserve">    شمالغرب</t>
  </si>
  <si>
    <t xml:space="preserve">    لرستان</t>
  </si>
  <si>
    <t xml:space="preserve">    هرمزگان</t>
  </si>
  <si>
    <t xml:space="preserve">    يزد</t>
  </si>
  <si>
    <t>ري</t>
  </si>
  <si>
    <t xml:space="preserve">    كرمان</t>
  </si>
  <si>
    <t xml:space="preserve">    فارس</t>
  </si>
  <si>
    <t xml:space="preserve">    زاگرس</t>
  </si>
  <si>
    <t xml:space="preserve">    قم</t>
  </si>
  <si>
    <t xml:space="preserve">    شمالشرق2</t>
  </si>
  <si>
    <t xml:space="preserve">    شمال2</t>
  </si>
  <si>
    <t xml:space="preserve">ماخذ :  اداره كل واگنها
</t>
  </si>
  <si>
    <t xml:space="preserve">انواع  تعمير واگن باري </t>
  </si>
  <si>
    <t xml:space="preserve">تعداد كارخانجات تعمير واگن باري </t>
  </si>
  <si>
    <t xml:space="preserve">انواع تعمير واگن مسافري </t>
  </si>
  <si>
    <t>تعداد کارخانجات تعمير واگن مسافري</t>
  </si>
  <si>
    <t xml:space="preserve">كارخانجات تعمير اساسي  ديزل </t>
  </si>
  <si>
    <t xml:space="preserve">انواع تعميرات ديزل </t>
  </si>
  <si>
    <t xml:space="preserve">تعداد دپوها </t>
  </si>
  <si>
    <t xml:space="preserve">اساسي </t>
  </si>
  <si>
    <t>نيمه اساسي</t>
  </si>
  <si>
    <t>بازسازي</t>
  </si>
  <si>
    <t>غير فعال</t>
  </si>
  <si>
    <t xml:space="preserve"> فعال</t>
  </si>
  <si>
    <t xml:space="preserve">ساليانه </t>
  </si>
  <si>
    <t>جاري</t>
  </si>
  <si>
    <t xml:space="preserve">مقرره </t>
  </si>
  <si>
    <t xml:space="preserve">جاري </t>
  </si>
  <si>
    <t>√</t>
  </si>
  <si>
    <t>تهران *</t>
  </si>
  <si>
    <t>خراسان**</t>
  </si>
  <si>
    <t xml:space="preserve">ري </t>
  </si>
  <si>
    <t xml:space="preserve">      لازم به ذكر است در كليه ادارات مناطق تعميرات ويژه وجاري واگنهاي باري و همچنين در بعضي از كارخانجات تعمير واگنها , انواع مختلف تعميرات  انجام مي گردد.</t>
  </si>
  <si>
    <t>*</t>
  </si>
  <si>
    <t>در آمار مذكور كارخانجات باز سازي لکوموتیو كرج منظور نگرديده است .</t>
  </si>
  <si>
    <t>**</t>
  </si>
  <si>
    <t>کارخانه سرخس ناحیه خراسان جهت تعمیرات اساسی یوژی توسط بخش خصوصی می باشد.</t>
  </si>
  <si>
    <t>ميانگين مسافت پيموده شده</t>
  </si>
  <si>
    <t>ميانگين تعداد</t>
  </si>
  <si>
    <t>تعداد</t>
  </si>
  <si>
    <t>مسافت</t>
  </si>
  <si>
    <t xml:space="preserve">باري </t>
  </si>
  <si>
    <t>مسافري</t>
  </si>
  <si>
    <t>باري</t>
  </si>
  <si>
    <t>باری</t>
  </si>
  <si>
    <t xml:space="preserve">مسافری </t>
  </si>
  <si>
    <t>لازم بذکر است آمار لکوموتيوهاي باري شامل تردد و لکوموتيوهاي مسافري شامل محلي نيز ميباشند .</t>
  </si>
  <si>
    <t>ماخذ : سیستم وضعیت روزانه دیزل ها</t>
  </si>
  <si>
    <t>توان موتور دیزل (HP)</t>
  </si>
  <si>
    <t>لکوموتیو کل</t>
  </si>
  <si>
    <t xml:space="preserve">متوسط كيلومتراژ هر لكوموتيو آماده به کار </t>
  </si>
  <si>
    <t xml:space="preserve">نوع بهره برداري </t>
  </si>
  <si>
    <t>مانوري</t>
  </si>
  <si>
    <t>G-8</t>
  </si>
  <si>
    <t>G-12</t>
  </si>
  <si>
    <t>G-18</t>
  </si>
  <si>
    <t>HD-10</t>
  </si>
  <si>
    <t>G-16</t>
  </si>
  <si>
    <t>G-22</t>
  </si>
  <si>
    <r>
      <rPr>
        <b/>
        <sz val="12"/>
        <rFont val="Arial"/>
        <family val="2"/>
      </rPr>
      <t>ER</t>
    </r>
    <r>
      <rPr>
        <b/>
        <sz val="12"/>
        <rFont val="B Nazanin"/>
        <charset val="178"/>
      </rPr>
      <t>24</t>
    </r>
    <r>
      <rPr>
        <b/>
        <sz val="12"/>
        <rFont val="Arial"/>
        <family val="2"/>
      </rPr>
      <t>PC</t>
    </r>
  </si>
  <si>
    <t>CDN10(البرز)</t>
  </si>
  <si>
    <t>روماني اجاره اي</t>
  </si>
  <si>
    <r>
      <rPr>
        <b/>
        <sz val="12"/>
        <rFont val="Arial"/>
        <family val="2"/>
      </rPr>
      <t>LDE</t>
    </r>
    <r>
      <rPr>
        <b/>
        <sz val="12"/>
        <rFont val="B Nazanin"/>
        <charset val="178"/>
      </rPr>
      <t>626</t>
    </r>
  </si>
  <si>
    <t>آلستوم مپنا</t>
  </si>
  <si>
    <r>
      <rPr>
        <b/>
        <sz val="12"/>
        <rFont val="Arial"/>
        <family val="2"/>
      </rPr>
      <t>LDE</t>
    </r>
    <r>
      <rPr>
        <b/>
        <sz val="12"/>
        <rFont val="B Nazanin"/>
        <charset val="178"/>
      </rPr>
      <t>2100</t>
    </r>
  </si>
  <si>
    <t>مپنا MAP24</t>
  </si>
  <si>
    <t xml:space="preserve">ماخذ :  اداره كل نيروي كشش </t>
  </si>
  <si>
    <t xml:space="preserve">جدول شماره 51 - تعداد تعميرات انجام شده وسائط نقليه در سال 1403 و مقايسه آن با سال قبل </t>
  </si>
  <si>
    <t>درصد تغییرات</t>
  </si>
  <si>
    <t>لكوموتيوهاي ديزل الكتريك :</t>
  </si>
  <si>
    <t xml:space="preserve">تعميرات اساسي *    </t>
  </si>
  <si>
    <t xml:space="preserve">بازديد  مقرره     </t>
  </si>
  <si>
    <t xml:space="preserve">بازديد ساليانه **      </t>
  </si>
  <si>
    <t>واگنهاي باري :</t>
  </si>
  <si>
    <t xml:space="preserve">تعميرات اساسي    </t>
  </si>
  <si>
    <t xml:space="preserve">تعميرات ويژه        </t>
  </si>
  <si>
    <t xml:space="preserve">تعميرات جاري        </t>
  </si>
  <si>
    <t>بازسازي و سانحه ديده</t>
  </si>
  <si>
    <t xml:space="preserve">ماخذ  :  اداره كل نيروي كشش و اداره كل واگنها  
</t>
  </si>
  <si>
    <t>*39 دستگاه تعمیرات انجام شده در کارخانجات اساسی نیروی کشش و 3 دستگاه در کارخانجات بازسازی لکوموتیو کرج برای لکوموتیوهای GM (تعمیرات اساسی موتور )</t>
  </si>
  <si>
    <t>** بازدید سالیانه لکوموتیوهای GM</t>
  </si>
  <si>
    <t>جدول شماره 48 - وضعيت مصرف روانکاري و مسافت پيموده شده وسائط نقليه درسال 1403 و مقايسه آن با سال قبل</t>
  </si>
  <si>
    <t>لكوموتيوهاي اصلی :</t>
  </si>
  <si>
    <r>
      <t xml:space="preserve">مسافت پيموده شده          </t>
    </r>
    <r>
      <rPr>
        <b/>
        <sz val="8"/>
        <rFont val="B Nazanin"/>
        <charset val="178"/>
      </rPr>
      <t>(كيلومتراژ)</t>
    </r>
  </si>
  <si>
    <t>لكوموتيوهاي مانوری :</t>
  </si>
  <si>
    <t>مصرف روغن</t>
  </si>
  <si>
    <r>
      <t xml:space="preserve">مصرف  روغن </t>
    </r>
    <r>
      <rPr>
        <b/>
        <sz val="8"/>
        <rFont val="B Nazanin"/>
        <charset val="178"/>
      </rPr>
      <t>(ليتر)</t>
    </r>
  </si>
  <si>
    <t>روغن 40 دیزل</t>
  </si>
  <si>
    <t>جرثقيلها :</t>
  </si>
  <si>
    <t>كاركرد به تن</t>
  </si>
  <si>
    <t xml:space="preserve">ماخذ  :  اداره كل نيروي كشش
</t>
  </si>
  <si>
    <t xml:space="preserve">لرستان </t>
  </si>
  <si>
    <t xml:space="preserve">جنوب </t>
  </si>
  <si>
    <t xml:space="preserve">شمالشرق 1 </t>
  </si>
  <si>
    <t xml:space="preserve">اصفهان </t>
  </si>
  <si>
    <t>بهسازي خطوط</t>
  </si>
  <si>
    <t>متر</t>
  </si>
  <si>
    <t>زيركوبي باماشين زيركوب</t>
  </si>
  <si>
    <t>کیلومتر</t>
  </si>
  <si>
    <t>بالاست ريزي</t>
  </si>
  <si>
    <t>مترمكعب</t>
  </si>
  <si>
    <t>تعويض تراورس درانواع مختلف</t>
  </si>
  <si>
    <t>اصله</t>
  </si>
  <si>
    <t>تقويت خاكريز</t>
  </si>
  <si>
    <t>متر مكعب</t>
  </si>
  <si>
    <t>خاكبرداري</t>
  </si>
  <si>
    <t>نصب سوزن جديد</t>
  </si>
  <si>
    <t>تعميرسوزن</t>
  </si>
  <si>
    <t>تعويض ريل</t>
  </si>
  <si>
    <t>شاخه</t>
  </si>
  <si>
    <t>تطویل خطوط</t>
  </si>
  <si>
    <t xml:space="preserve">احداث خطوط حومه ای </t>
  </si>
  <si>
    <t>احداث خط دوم</t>
  </si>
  <si>
    <t>جوش درز ريل</t>
  </si>
  <si>
    <t>بند</t>
  </si>
  <si>
    <t>بازسازي خط</t>
  </si>
  <si>
    <t>ماخذ : اداره کل خط و سازه های فنی</t>
  </si>
  <si>
    <t>تاريخ آغاز</t>
  </si>
  <si>
    <t>تاريخ خاتمه</t>
  </si>
  <si>
    <t xml:space="preserve">تاريخ شروع </t>
  </si>
  <si>
    <t xml:space="preserve">عرض خط </t>
  </si>
  <si>
    <t>طول خط</t>
  </si>
  <si>
    <t>مسيرخطوط</t>
  </si>
  <si>
    <t>بهره برداري</t>
  </si>
  <si>
    <t xml:space="preserve"> ساختمان</t>
  </si>
  <si>
    <t>ساختمان</t>
  </si>
  <si>
    <t>(ميليمتر)</t>
  </si>
  <si>
    <t>(كيلومتر)</t>
  </si>
  <si>
    <t>خط دوم سيرجان-گل گهر</t>
  </si>
  <si>
    <t>تبريز- جلفا</t>
  </si>
  <si>
    <t>خط دوم گل گهر-قره تپه</t>
  </si>
  <si>
    <t>صوفيان- رازي درمرزتركيه</t>
  </si>
  <si>
    <t>خط دوم رابط ملكي-آپرين</t>
  </si>
  <si>
    <t>زاهدان- ميرجاوه</t>
  </si>
  <si>
    <t>خط رابط تپه سفيد-آپرين</t>
  </si>
  <si>
    <t>تهران - بندرامام خميني</t>
  </si>
  <si>
    <t>كمربندي نظاميه-مياندشت</t>
  </si>
  <si>
    <t>تهرا ن - بندرتركمن</t>
  </si>
  <si>
    <t>خط سوم تهران-تپه سفيد</t>
  </si>
  <si>
    <t>گرمسار - مشهد</t>
  </si>
  <si>
    <t>خط دوم قره تپه-تزرج</t>
  </si>
  <si>
    <t>تهران- تبريز</t>
  </si>
  <si>
    <t>اقليد-شيراز(صدرا)</t>
  </si>
  <si>
    <t>قم - زرند</t>
  </si>
  <si>
    <t>خودروسازان-زاهدان</t>
  </si>
  <si>
    <t>اهواز - خرمشهر</t>
  </si>
  <si>
    <t>خرمشهر - شلمچه (مرز عراق)</t>
  </si>
  <si>
    <t>سربندر - بندرماهشهر</t>
  </si>
  <si>
    <t>سمنگان - ملاير</t>
  </si>
  <si>
    <t>گرگان - بندرتركمن</t>
  </si>
  <si>
    <t>مراغه - مياندوآب</t>
  </si>
  <si>
    <t>سيستان - زرين شهر</t>
  </si>
  <si>
    <t>صدرا - شيراز</t>
  </si>
  <si>
    <t>زرند - كرمان</t>
  </si>
  <si>
    <t xml:space="preserve">خط دوم قدس - حميد </t>
  </si>
  <si>
    <t>بافق - بندر عباس(اسکله شهید رجائی)</t>
  </si>
  <si>
    <t>خط دوم تزرج - انشعاب</t>
  </si>
  <si>
    <t>انشعاب-بندرعباس(مسافری)</t>
  </si>
  <si>
    <t>قمرود - گارمانوری قم</t>
  </si>
  <si>
    <t>خط دوم حسن آباد- ديزيچه</t>
  </si>
  <si>
    <t>گارمانوری قم - ساقه</t>
  </si>
  <si>
    <t>خط دوم تهران-گرمسار</t>
  </si>
  <si>
    <t>خط دوم گارمانوری قم - قم</t>
  </si>
  <si>
    <t>خط دوم تهران - آپرين</t>
  </si>
  <si>
    <t xml:space="preserve">هفت تپه -شوشتر </t>
  </si>
  <si>
    <t>فريمان- سرخس</t>
  </si>
  <si>
    <t>مهاباد-میاندوآب</t>
  </si>
  <si>
    <t xml:space="preserve">خط دوم فريمان  - مشهد </t>
  </si>
  <si>
    <t>سبزدشت(قره تپه)- اینچه برون</t>
  </si>
  <si>
    <t xml:space="preserve">رابط آپرين- ملكي  </t>
  </si>
  <si>
    <t>خط دوم ساغند -چادرملو</t>
  </si>
  <si>
    <t>خط دوم شمالشرق</t>
  </si>
  <si>
    <t>خط دوم تهران - نیک پسندی</t>
  </si>
  <si>
    <t xml:space="preserve">خط دوم نغاب - فريمان </t>
  </si>
  <si>
    <t>جمع آوری در سال 1393</t>
  </si>
  <si>
    <t>جمع آوری خط دوم آپرین- اسلامشهر</t>
  </si>
  <si>
    <t xml:space="preserve">خط عريض سرخس - تجن </t>
  </si>
  <si>
    <t>جمع آوری خط قدیم قدس- حمید</t>
  </si>
  <si>
    <t>سلام - شهيد مطهري</t>
  </si>
  <si>
    <t>خط دوم میاندشت- سربندر</t>
  </si>
  <si>
    <t>بادرود- ميبد</t>
  </si>
  <si>
    <t>خواف- سنگان</t>
  </si>
  <si>
    <t xml:space="preserve">رابط آپرين - بهرام </t>
  </si>
  <si>
    <t>سنگان- شمتیغ ایران</t>
  </si>
  <si>
    <t>رابط دوخطه آپرين- اسلامشهر</t>
  </si>
  <si>
    <t>خط دوم قمرود - گارمانوری قم</t>
  </si>
  <si>
    <t xml:space="preserve">آپرين - محمديه 2 </t>
  </si>
  <si>
    <t>ملایر-کرمانشاه</t>
  </si>
  <si>
    <t>رستمكلا-اميرآباد</t>
  </si>
  <si>
    <t>سوزن انشعاب خط قدیم قم- همدان</t>
  </si>
  <si>
    <t>اردكان - چا درملو</t>
  </si>
  <si>
    <t>خط دوم اندیمشک- شوش</t>
  </si>
  <si>
    <t>خط دوم آپرين - محمديه 2</t>
  </si>
  <si>
    <t>جمع آوری در سال 1396</t>
  </si>
  <si>
    <t>جمع آوری خط قدیم اندیمشک-شوش</t>
  </si>
  <si>
    <t xml:space="preserve">خط دوم ملكي - كرج </t>
  </si>
  <si>
    <t>خط دوم اشکذر (نظرآباد)- یزدگرد</t>
  </si>
  <si>
    <t>خط دوم  لشكري  -نیک پسندي</t>
  </si>
  <si>
    <t>خط دوم زرینکوه- ریگ</t>
  </si>
  <si>
    <t xml:space="preserve">رابط  ارژنگ  -  اردكان  </t>
  </si>
  <si>
    <t xml:space="preserve"> خط دوم ميبد - اشكذر</t>
  </si>
  <si>
    <t xml:space="preserve">محمديه 2 -  شوراب </t>
  </si>
  <si>
    <t>مهاباد- اروميه</t>
  </si>
  <si>
    <t xml:space="preserve">محمديه 2 - جمكران </t>
  </si>
  <si>
    <t>جدايش - سوزن انشعاب</t>
  </si>
  <si>
    <t>كرمان - راين</t>
  </si>
  <si>
    <t>خط دوم سيستان- ايرانكوه</t>
  </si>
  <si>
    <t>راين - بم</t>
  </si>
  <si>
    <t xml:space="preserve">رباط كريم - پرند </t>
  </si>
  <si>
    <t>بم-خودروسازان</t>
  </si>
  <si>
    <t>خط دوم يزدگرد - رخش</t>
  </si>
  <si>
    <t>بافق-جندق-چادرملو</t>
  </si>
  <si>
    <t xml:space="preserve">سياه چشمه - رشت </t>
  </si>
  <si>
    <t>جندق-كاشمر</t>
  </si>
  <si>
    <t xml:space="preserve">خط دوم شبنم - ساسان </t>
  </si>
  <si>
    <t>خط دوم احمدآباد-ميمند</t>
  </si>
  <si>
    <t>خط دوم کرج-هشتگرد</t>
  </si>
  <si>
    <t>خط دوم بافق-اضطراري 25</t>
  </si>
  <si>
    <t>میانه - بستان آباد</t>
  </si>
  <si>
    <t>خط دوم اضطراري 25-جنت آباد</t>
  </si>
  <si>
    <t>خط دوم هشتگرد-قزوین</t>
  </si>
  <si>
    <t>خط دوم جنت آباد-احمدآباد</t>
  </si>
  <si>
    <t>رابط شازند- حک</t>
  </si>
  <si>
    <t>تربت حيدريه-خواف</t>
  </si>
  <si>
    <t>خط دوم قزوین-سیاه چشمه</t>
  </si>
  <si>
    <t>خط دوم ميمند-سيرجان</t>
  </si>
  <si>
    <t>خط دوم ایرانکوه-آبنیل</t>
  </si>
  <si>
    <t>كال زرد-پرواده</t>
  </si>
  <si>
    <t>خط دوم رخش-چاه خاور</t>
  </si>
  <si>
    <t>رابط ساقه-محمديه</t>
  </si>
  <si>
    <t>خط دوم شوش-هفت تپه</t>
  </si>
  <si>
    <t>سيدآباد-شهرضا</t>
  </si>
  <si>
    <t>خط سوم و چهارم تهران- لشگری</t>
  </si>
  <si>
    <t>خط دوم هفت تپه-آهودشت</t>
  </si>
  <si>
    <t>شهرضا-اقليد</t>
  </si>
  <si>
    <t>خط دوم اشک-ارژنگ</t>
  </si>
  <si>
    <t>خط دوم رابط ارژنگ- اردكان</t>
  </si>
  <si>
    <t>خط دوم چاه خاور- طبرکوه</t>
  </si>
  <si>
    <t>بستان آباد- خاوران</t>
  </si>
  <si>
    <t>همدان- سنندج</t>
  </si>
  <si>
    <t>رخش- مبادله</t>
  </si>
  <si>
    <t>خط دوم ارژنگ- میبد</t>
  </si>
  <si>
    <t>جیگولی- خاش</t>
  </si>
  <si>
    <t>رابط بیسیم- گلدانه</t>
  </si>
  <si>
    <t>خط دوم شبنم- مشک</t>
  </si>
  <si>
    <t>خط دوم آبنیل - سید آباد</t>
  </si>
  <si>
    <t>خط دوم بندر ترکمن- سبزدشت</t>
  </si>
  <si>
    <t>خط دوم آهودشت- بامدژ</t>
  </si>
  <si>
    <t>خط دوم بامدژ- اهواز</t>
  </si>
  <si>
    <t>خطوط اصلي</t>
  </si>
  <si>
    <t>خطوط فرعي (صنعتي تجاري و مانوري)</t>
  </si>
  <si>
    <t>جمع كل خطوط</t>
  </si>
  <si>
    <t>خط اصلي</t>
  </si>
  <si>
    <t xml:space="preserve">خط دوم </t>
  </si>
  <si>
    <t xml:space="preserve"> صنعتي تجاري</t>
  </si>
  <si>
    <t>ماخذ : اداره كل خط وسازه هاي فني</t>
  </si>
  <si>
    <t>نواحی</t>
  </si>
  <si>
    <t>نواحي</t>
  </si>
  <si>
    <t>نوع سوزن</t>
  </si>
  <si>
    <t>R60</t>
  </si>
  <si>
    <t>R50</t>
  </si>
  <si>
    <t>U33</t>
  </si>
  <si>
    <t>P65</t>
  </si>
  <si>
    <t>P50</t>
  </si>
  <si>
    <t>P43</t>
  </si>
  <si>
    <t>2A</t>
  </si>
  <si>
    <t>3A</t>
  </si>
  <si>
    <t>متفرقه</t>
  </si>
  <si>
    <t>محل مرتفع ترين نقطه خط</t>
  </si>
  <si>
    <t>ارتفاع از سطح دريا به متر</t>
  </si>
  <si>
    <t>حداكثر شيب</t>
  </si>
  <si>
    <t>هفت تپه - اهواز</t>
  </si>
  <si>
    <t xml:space="preserve">كيلومتر816 ايستگاه اهواز </t>
  </si>
  <si>
    <t>5در هزار</t>
  </si>
  <si>
    <t>1 در هزار</t>
  </si>
  <si>
    <t>اهواز - بندرامام</t>
  </si>
  <si>
    <t>4 در هزار</t>
  </si>
  <si>
    <t>اراك-دورود</t>
  </si>
  <si>
    <t>مومن آباد کیلومتر 100+399</t>
  </si>
  <si>
    <t>15در هزار</t>
  </si>
  <si>
    <t>درود-انديمشك</t>
  </si>
  <si>
    <t>كيلومتر 556 بين تنگ 7 و تنگ 5</t>
  </si>
  <si>
    <t>16درهزار</t>
  </si>
  <si>
    <t>قم-درود</t>
  </si>
  <si>
    <t>بلاك نورآباد - سميه كيلومتر 450+376</t>
  </si>
  <si>
    <t>تهران-جدایش</t>
  </si>
  <si>
    <t xml:space="preserve"> کیلومتر 32 بلاک اسلامشهر-رباط کریم</t>
  </si>
  <si>
    <t>13.7 در هزار</t>
  </si>
  <si>
    <t xml:space="preserve"> تهران-گرمسار</t>
  </si>
  <si>
    <t>كيلومتر5 ايستگاه تهران-ری</t>
  </si>
  <si>
    <t>تهران-هشتگرد</t>
  </si>
  <si>
    <t>كيلومتر63 بين كردان-هشتگرد</t>
  </si>
  <si>
    <t>تهران- علی آباد</t>
  </si>
  <si>
    <t>كيلومتر5 ايستگاه تهران- تپه سفید</t>
  </si>
  <si>
    <t>قزوین - رشت</t>
  </si>
  <si>
    <t>ایستگاه کوهین کیلومتر 435+192</t>
  </si>
  <si>
    <t>1در هزار</t>
  </si>
  <si>
    <t>گرمسار-گرگان</t>
  </si>
  <si>
    <t>كيلومتر218 بين دوگل-گدوك</t>
  </si>
  <si>
    <t>28در هزار</t>
  </si>
  <si>
    <t>قم - اراک</t>
  </si>
  <si>
    <t>کیلومتر 237 بلاک باغیک - سواریان</t>
  </si>
  <si>
    <t>گرگان - گلوگاه</t>
  </si>
  <si>
    <t>495+938کیلومتر ایستگاه یامپی</t>
  </si>
  <si>
    <t xml:space="preserve"> 12در هزار</t>
  </si>
  <si>
    <t>سبزدشت - اینچه برون</t>
  </si>
  <si>
    <t xml:space="preserve">  کیلومتر  160+553   ایستگاه اینچه برون</t>
  </si>
  <si>
    <t xml:space="preserve">11 در هزار </t>
  </si>
  <si>
    <t>گرمسار-میاندره</t>
  </si>
  <si>
    <t>كيلومتر649+240 بلاک سمنان-میاندره</t>
  </si>
  <si>
    <t>میاندره-آبگرم</t>
  </si>
  <si>
    <t>کیلومتر 143+259 بلاک میاندره - آبگرم</t>
  </si>
  <si>
    <t>آبگرم-گرداب</t>
  </si>
  <si>
    <t>کیلومتر 402+264 بلاک آبگرم- گرداب</t>
  </si>
  <si>
    <t>گرداب - هفتخوان</t>
  </si>
  <si>
    <t>کیلومتر 426+284 بلاک گرداب-هفتخوان</t>
  </si>
  <si>
    <t>هفتخوان-لارستان</t>
  </si>
  <si>
    <t>کیلومتر 814+299 بلاک هفتخوان-لارستان</t>
  </si>
  <si>
    <t>لارستان-نقاب</t>
  </si>
  <si>
    <t>کیلومتر 321 بلاک لارستان-امروان</t>
  </si>
  <si>
    <t>نقاب مشهد</t>
  </si>
  <si>
    <t>كيلومتر 150+854 بين ابومسلم-تربت</t>
  </si>
  <si>
    <t>14درهزار</t>
  </si>
  <si>
    <t>فريمان سرخس</t>
  </si>
  <si>
    <t>كيلومتر 688+887 ايستگاه فريمان</t>
  </si>
  <si>
    <t>15درهزار</t>
  </si>
  <si>
    <t>قزوین-زنجان</t>
  </si>
  <si>
    <t>کیلومتر 530+264 بلاک پیرزاغه -سلطانیه</t>
  </si>
  <si>
    <t>10درهزار</t>
  </si>
  <si>
    <t>شیب غالب در محور</t>
  </si>
  <si>
    <t>مراغه - ارومیه</t>
  </si>
  <si>
    <t>کیلومتر 607 ایستگاه مراغه</t>
  </si>
  <si>
    <t>11درهزار</t>
  </si>
  <si>
    <t>میانه - مراغه</t>
  </si>
  <si>
    <t>کیلومتر 547 ایستگاه سراجو</t>
  </si>
  <si>
    <t xml:space="preserve">تبريز-جلفا </t>
  </si>
  <si>
    <t>كيلومتر 790 ايستگاه پيام</t>
  </si>
  <si>
    <t xml:space="preserve">28در هزار </t>
  </si>
  <si>
    <t>صوفيان- رازي</t>
  </si>
  <si>
    <t>كيلومتر 958 ايستگاه رازي</t>
  </si>
  <si>
    <t>مراغه-تبريز</t>
  </si>
  <si>
    <t>كيلومتر 657 ايستگاه پرویزبهمن</t>
  </si>
  <si>
    <t>سيستان-ارژنگ</t>
  </si>
  <si>
    <t>كيلومتر 572 ايستگاه ورزنه</t>
  </si>
  <si>
    <t>10در هزار</t>
  </si>
  <si>
    <t>شوراب-زرين شهر</t>
  </si>
  <si>
    <t xml:space="preserve">كيلومتر 453 ايستگاه چاريسه </t>
  </si>
  <si>
    <t>بادرود-اردکان-میبد</t>
  </si>
  <si>
    <t>کیلومتر 593 بلاک اردکان-میبد</t>
  </si>
  <si>
    <t>12.5 در هزار</t>
  </si>
  <si>
    <t>میبد-یزد-بافق</t>
  </si>
  <si>
    <t>کیلومتر 801 ایستگاه چاه خاور</t>
  </si>
  <si>
    <t>10 در هزار</t>
  </si>
  <si>
    <t>بافق ـ جندق</t>
  </si>
  <si>
    <t>کیلومتر 71 بلاك سه چاهون-بهاباد
کیلومتر 116 الی 125 چاه محمدو_ جندق</t>
  </si>
  <si>
    <t>1690
1350</t>
  </si>
  <si>
    <t>15 در هزار
15 در هزار</t>
  </si>
  <si>
    <t>اردکان-چادرملو</t>
  </si>
  <si>
    <t>1251
1245</t>
  </si>
  <si>
    <t>12.5 در هزار
12.5 در هزار</t>
  </si>
  <si>
    <t>شورگز-میل 72</t>
  </si>
  <si>
    <t>كيلومتر 1607ايستگاه كنجانك</t>
  </si>
  <si>
    <t>19در هزار</t>
  </si>
  <si>
    <t>كيلومتر709 بين كامه و حصارجلال</t>
  </si>
  <si>
    <t>تربت-خواف</t>
  </si>
  <si>
    <t>كيلومتر685 بين تربت حيدريه وسالار</t>
  </si>
  <si>
    <t>بافق-سيرجان</t>
  </si>
  <si>
    <t>كيلومتر1051 بين احمدآباد-ميمند</t>
  </si>
  <si>
    <t>12.5در هزار</t>
  </si>
  <si>
    <t>كرمان-بم</t>
  </si>
  <si>
    <t>كيلومتر1179 بين كرمان-راين</t>
  </si>
  <si>
    <t>18در هزار</t>
  </si>
  <si>
    <t>کوریجان- همدان</t>
  </si>
  <si>
    <t>کیلومتر 302 ایستگاه راه آهن همدان</t>
  </si>
  <si>
    <t>سیدآباد - شیراز</t>
  </si>
  <si>
    <t>كيلومتر 855 بین خانخوره-خرم بيد</t>
  </si>
  <si>
    <t>20درهزار</t>
  </si>
  <si>
    <t>تونلها</t>
  </si>
  <si>
    <t>گالريها</t>
  </si>
  <si>
    <t>يك خطه</t>
  </si>
  <si>
    <t>دو خطه</t>
  </si>
  <si>
    <t>دوخطه</t>
  </si>
  <si>
    <t>طولm</t>
  </si>
  <si>
    <t>اداره كل راه آهن</t>
  </si>
  <si>
    <t>تعداد و نوع درزین</t>
  </si>
  <si>
    <t>ابوابجمعي شركت تراورس</t>
  </si>
  <si>
    <t>ابوابجمعي راه آهن</t>
  </si>
  <si>
    <t>خط جوش گستر</t>
  </si>
  <si>
    <t>گسترش آهن راه</t>
  </si>
  <si>
    <t>رضوان دورود</t>
  </si>
  <si>
    <t>فراز ريل جنوب</t>
  </si>
  <si>
    <t>خط و ابنيه فلق</t>
  </si>
  <si>
    <t>فرازسازان راه وساختمان سمنان</t>
  </si>
  <si>
    <t>ريل صنعت کاران</t>
  </si>
  <si>
    <t>تدبير عمران جم</t>
  </si>
  <si>
    <t>راهبر ريل ایرانیان</t>
  </si>
  <si>
    <t>شبکه بهداشت</t>
  </si>
  <si>
    <t>آب و نيرو</t>
  </si>
  <si>
    <t>سپاه پلسداران</t>
  </si>
  <si>
    <t>جمع درزين موجود</t>
  </si>
  <si>
    <t>دیزلی</t>
  </si>
  <si>
    <t>بنزینی</t>
  </si>
  <si>
    <t>مسافری</t>
  </si>
  <si>
    <t>وانتی</t>
  </si>
  <si>
    <t>وانتی جرثقیلدار</t>
  </si>
  <si>
    <t>آمبولانسی</t>
  </si>
  <si>
    <t>فعال</t>
  </si>
  <si>
    <t>متوقف</t>
  </si>
  <si>
    <t>اسقاط</t>
  </si>
  <si>
    <t>شمال  (1)</t>
  </si>
  <si>
    <t>شمال (2)</t>
  </si>
  <si>
    <t>شمالشرق(1)</t>
  </si>
  <si>
    <t>شمالشرق(2)</t>
  </si>
  <si>
    <t>غرب (همدان)</t>
  </si>
  <si>
    <t>جمع درزينهاي سبک</t>
  </si>
  <si>
    <r>
      <t xml:space="preserve"> تعداد 82   </t>
    </r>
    <r>
      <rPr>
        <b/>
        <sz val="12"/>
        <color theme="1"/>
        <rFont val="B Nazanin"/>
        <charset val="178"/>
      </rPr>
      <t>(</t>
    </r>
    <r>
      <rPr>
        <sz val="12"/>
        <color theme="1"/>
        <rFont val="B Nazanin"/>
        <charset val="178"/>
      </rPr>
      <t xml:space="preserve">با احتساب درزینهای گزارش نشده تعداد </t>
    </r>
    <r>
      <rPr>
        <u/>
        <sz val="12"/>
        <color theme="1"/>
        <rFont val="B Nazanin"/>
        <charset val="178"/>
      </rPr>
      <t>92</t>
    </r>
    <r>
      <rPr>
        <sz val="12"/>
        <color theme="1"/>
        <rFont val="B Nazanin"/>
        <charset val="178"/>
      </rPr>
      <t xml:space="preserve"> درزین)  </t>
    </r>
  </si>
  <si>
    <r>
      <rPr>
        <sz val="10"/>
        <color theme="1"/>
        <rFont val="B Titr"/>
        <charset val="178"/>
      </rPr>
      <t>درزین های عدم گزارش محل استقرار و بهره برداری مناطق:</t>
    </r>
    <r>
      <rPr>
        <sz val="12"/>
        <color theme="1"/>
        <rFont val="B Nazanin"/>
        <charset val="178"/>
      </rPr>
      <t xml:space="preserve"> تعداد </t>
    </r>
    <r>
      <rPr>
        <u/>
        <sz val="12"/>
        <color theme="1"/>
        <rFont val="B Nazanin"/>
        <charset val="178"/>
      </rPr>
      <t>2</t>
    </r>
    <r>
      <rPr>
        <sz val="12"/>
        <color theme="1"/>
        <rFont val="B Nazanin"/>
        <charset val="178"/>
      </rPr>
      <t xml:space="preserve">  درزين وانتي متعلق به شرکت مهاران + تعداد </t>
    </r>
    <r>
      <rPr>
        <u/>
        <sz val="12"/>
        <color theme="1"/>
        <rFont val="B Nazanin"/>
        <charset val="178"/>
      </rPr>
      <t xml:space="preserve">3 </t>
    </r>
    <r>
      <rPr>
        <sz val="12"/>
        <color theme="1"/>
        <rFont val="B Nazanin"/>
        <charset val="178"/>
      </rPr>
      <t>درزین شرکت سی بی جی + تعداد</t>
    </r>
    <r>
      <rPr>
        <u/>
        <sz val="12"/>
        <color theme="1"/>
        <rFont val="B Nazanin"/>
        <charset val="178"/>
      </rPr>
      <t xml:space="preserve"> 1 </t>
    </r>
    <r>
      <rPr>
        <sz val="12"/>
        <color theme="1"/>
        <rFont val="B Nazanin"/>
        <charset val="178"/>
      </rPr>
      <t>درزین شرکت بالاست +تعداد</t>
    </r>
    <r>
      <rPr>
        <u/>
        <sz val="12"/>
        <color theme="1"/>
        <rFont val="B Nazanin"/>
        <charset val="178"/>
      </rPr>
      <t xml:space="preserve"> 1</t>
    </r>
    <r>
      <rPr>
        <sz val="12"/>
        <color theme="1"/>
        <rFont val="B Nazanin"/>
        <charset val="178"/>
      </rPr>
      <t xml:space="preserve"> درزين مسافري شركت سامان صنعت فلز + تعداد </t>
    </r>
    <r>
      <rPr>
        <u/>
        <sz val="12"/>
        <color theme="1"/>
        <rFont val="B Nazanin"/>
        <charset val="178"/>
      </rPr>
      <t>1</t>
    </r>
    <r>
      <rPr>
        <sz val="12"/>
        <color theme="1"/>
        <rFont val="B Nazanin"/>
        <charset val="178"/>
      </rPr>
      <t xml:space="preserve"> درزین مسافری شرکت جنرال مکانیک +  تعداد </t>
    </r>
    <r>
      <rPr>
        <u/>
        <sz val="12"/>
        <color theme="1"/>
        <rFont val="B Nazanin"/>
        <charset val="178"/>
      </rPr>
      <t>2</t>
    </r>
    <r>
      <rPr>
        <sz val="12"/>
        <color theme="1"/>
        <rFont val="B Nazanin"/>
        <charset val="178"/>
      </rPr>
      <t xml:space="preserve"> درزين مسافری شرکت تراورس + تعداد </t>
    </r>
    <r>
      <rPr>
        <u/>
        <sz val="12"/>
        <color theme="1"/>
        <rFont val="B Nazanin"/>
        <charset val="178"/>
      </rPr>
      <t>2</t>
    </r>
    <r>
      <rPr>
        <sz val="12"/>
        <color theme="1"/>
        <rFont val="B Nazanin"/>
        <charset val="178"/>
      </rPr>
      <t xml:space="preserve"> درزین شرکت تدبیر عمران جم + تعداد </t>
    </r>
    <r>
      <rPr>
        <u/>
        <sz val="12"/>
        <color theme="1"/>
        <rFont val="B Nazanin"/>
        <charset val="178"/>
      </rPr>
      <t>1</t>
    </r>
    <r>
      <rPr>
        <sz val="12"/>
        <color theme="1"/>
        <rFont val="B Nazanin"/>
        <charset val="178"/>
      </rPr>
      <t xml:space="preserve"> درزین شرکت خط جوش گستر + تعداد 5 درزین شرکت خط و ابنیه فلق + تعداد 2 درزین شرکت گسترش آهن راه</t>
    </r>
  </si>
  <si>
    <r>
      <t xml:space="preserve"> تعداد</t>
    </r>
    <r>
      <rPr>
        <u/>
        <sz val="12"/>
        <color theme="1"/>
        <rFont val="B Nazanin"/>
        <charset val="178"/>
      </rPr>
      <t xml:space="preserve"> 1</t>
    </r>
    <r>
      <rPr>
        <sz val="12"/>
        <color theme="1"/>
        <rFont val="B Nazanin"/>
        <charset val="178"/>
      </rPr>
      <t xml:space="preserve"> دستگاه درزين مسافري (د-21) اموالی راه آّهن توسط شرکت تراورس به شرکت ثالث واگذار و فروخته شده و اقدام جهت اعاده درزین </t>
    </r>
  </si>
  <si>
    <r>
      <t xml:space="preserve">تعداد </t>
    </r>
    <r>
      <rPr>
        <u/>
        <sz val="12"/>
        <color theme="1"/>
        <rFont val="B Nazanin"/>
        <charset val="178"/>
      </rPr>
      <t>3</t>
    </r>
    <r>
      <rPr>
        <sz val="12"/>
        <color theme="1"/>
        <rFont val="B Nazanin"/>
        <charset val="178"/>
      </rPr>
      <t xml:space="preserve"> دستگاه درزين خط برقي شبكه بالاسري - مستقر در اداره كل راه آهن آذربايجان</t>
    </r>
  </si>
  <si>
    <r>
      <t xml:space="preserve">تعداد </t>
    </r>
    <r>
      <rPr>
        <u/>
        <sz val="12"/>
        <color theme="1"/>
        <rFont val="B Nazanin"/>
        <charset val="178"/>
      </rPr>
      <t>6</t>
    </r>
    <r>
      <rPr>
        <sz val="12"/>
        <color theme="1"/>
        <rFont val="B Nazanin"/>
        <charset val="178"/>
      </rPr>
      <t xml:space="preserve"> دستگاه درزين وانتي اداره كل واگنها - جهت بهره برداري در پروژه قطار امداد و نجات مستقر در ادارات كل (جنوبشرق، شمالشرق(1)، زاگرس، شمال، لرستان، يزد) که در آمار فوق لحاظ شده است</t>
    </r>
  </si>
  <si>
    <t>تعداد ساير درزينهاي (بلا استفاده ، متوقف ، اسقاط و فرسوده ، در دست بازسازي) متعلق به شرکت تراورس مستقر در مرکز و برخي از ادارات کل نواحي راه آهن</t>
  </si>
  <si>
    <t>جمع کل درزین های سبک موجود در خطوط شبکه ریلی راه آهن ج.ا.ا.</t>
  </si>
  <si>
    <t>بوز</t>
  </si>
  <si>
    <t>دالو</t>
  </si>
  <si>
    <t>فر بتون</t>
  </si>
  <si>
    <t>طاق سنگي</t>
  </si>
  <si>
    <t>فلزي</t>
  </si>
  <si>
    <t xml:space="preserve">طاقي </t>
  </si>
  <si>
    <t xml:space="preserve">طاقي خوابيده </t>
  </si>
  <si>
    <t>طاقي چند دهانه</t>
  </si>
  <si>
    <t>(P.en)</t>
  </si>
  <si>
    <t>باكس</t>
  </si>
  <si>
    <t>مركب</t>
  </si>
  <si>
    <t>خرپا فلزي</t>
  </si>
  <si>
    <t>سيفون</t>
  </si>
  <si>
    <t>گذرگاه</t>
  </si>
  <si>
    <t>طول كل(متر)</t>
  </si>
  <si>
    <t>(B)</t>
  </si>
  <si>
    <t>(D)</t>
  </si>
  <si>
    <t>(F.B)</t>
  </si>
  <si>
    <t>(A.V)</t>
  </si>
  <si>
    <t>(P.M)</t>
  </si>
  <si>
    <t>(P.V)</t>
  </si>
  <si>
    <t>(A.V.S)</t>
  </si>
  <si>
    <t>(P.V.S)</t>
  </si>
  <si>
    <t>(BOX)</t>
  </si>
  <si>
    <t>(COM)</t>
  </si>
  <si>
    <t>(Trus)</t>
  </si>
  <si>
    <t>(S-i)</t>
  </si>
  <si>
    <t>غير همسطح</t>
  </si>
  <si>
    <t>شمال شرق  1</t>
  </si>
  <si>
    <t>شمال شرق  2</t>
  </si>
  <si>
    <r>
      <t>توضیحات :</t>
    </r>
    <r>
      <rPr>
        <sz val="12"/>
        <rFont val="B Nazanin"/>
        <charset val="178"/>
      </rPr>
      <t xml:space="preserve"> ستون گذرگاههای غیرهمسطح صرفا جهت اطلاع بوده و بعلت عبور جاده  در جمع کل پلها و طول کل محاسبه نگردیده است.</t>
    </r>
  </si>
  <si>
    <t>جدول شماره 109- درزين هاي  شركتهاي خصوصي در سال 1403</t>
  </si>
  <si>
    <t xml:space="preserve"> آمار و وضعيت درزین های سبک شرکت های خصوصی</t>
  </si>
  <si>
    <t>نوع درزین</t>
  </si>
  <si>
    <t>توضيحات</t>
  </si>
  <si>
    <t>آمبولانسي</t>
  </si>
  <si>
    <t xml:space="preserve"> مستقر در ناحيه كرمان</t>
  </si>
  <si>
    <t xml:space="preserve"> تعداد10 درزین در يزد + 3 درزین در آذربايجان (بانضمام 13درزين شركت تراورس تحت اجاره شرکت گارمستقر در آذربايجان) + تعداد 5 درزین در ناحیه شمال 2</t>
  </si>
  <si>
    <t xml:space="preserve"> تعداد یک درزین در ناحيه اراك (متوقف) + يك درزین در شمالشرق(1)  و دو درزین در فارس تحت اجاره شرکت تراورس+ تعداد دو درزین در شمالغرب تحت اجاره شرکت ریل صنعت کاران + تعداد یک عدم گزارش محل استقرار </t>
  </si>
  <si>
    <t>فراز ریل جنوب</t>
  </si>
  <si>
    <t xml:space="preserve"> تعداد 10 درزین در ناحيه جنوب تحت اجاره فراز سازان سمنان + 2 درزین در ناحيه اراک تحت اجاره راهبر ریل ایرانیان</t>
  </si>
  <si>
    <t xml:space="preserve"> تعداد 2 درزین در ناحيه قم تحت اجاره شرکت راهبر ریل ایرانیان + 7 درزین در ناحيه غرب</t>
  </si>
  <si>
    <t>سپاه پاسداران</t>
  </si>
  <si>
    <t xml:space="preserve"> مستقر در ناحيه لرستان (متوقف و عدم كاربرد)</t>
  </si>
  <si>
    <t>ریل صنعت کاران</t>
  </si>
  <si>
    <t xml:space="preserve"> مستقر در ناحيه شمالغرب</t>
  </si>
  <si>
    <t>آب و نیرو</t>
  </si>
  <si>
    <t xml:space="preserve"> مستقر در ناحيه زاگرس (سد بختياري) - عدم بهره برداري و متوقف</t>
  </si>
  <si>
    <t>فراز سازان سمنان</t>
  </si>
  <si>
    <t xml:space="preserve"> تعداد 12 درزین در ناحيه شرق + یک درزین در ناحیه جنوب</t>
  </si>
  <si>
    <t>تعداد یک درزین در شمالغرب تحت اجاره شرکت ریل صنعت کاران + تعداد یک درزین عدم گزارش محل استقرار</t>
  </si>
  <si>
    <t xml:space="preserve"> تعداد 6 درزین در ناحيه اراک + تعداد یک درزین در ناحیه قم</t>
  </si>
  <si>
    <t xml:space="preserve"> مستقر در ناحيه لرستان - متوقف و عدم كاربرد</t>
  </si>
  <si>
    <t xml:space="preserve">در سالهاي 1394 لغايت 1403 </t>
  </si>
  <si>
    <t xml:space="preserve">بدلیل رقم صفر مناطق اراک و یزد در هردو سال حذف شدند </t>
  </si>
  <si>
    <t>این جدول صرفا شامل مناطقی هست که ارقام  درآمد آن از طرف اداره کل امور مالی اعلام شده است.</t>
  </si>
  <si>
    <t>واحد ذکر نشده</t>
  </si>
  <si>
    <t>مجموع</t>
  </si>
  <si>
    <t>جدول شماره 30 - تعداد مسافر جابجا شده از مبداء به تفكيك ماه و مناطق در سال 1403</t>
  </si>
  <si>
    <t>جدول شماره 31 - تعداد مسافر درسال 1403 و مقايسه آن با سال قبل</t>
  </si>
  <si>
    <t>جدول شماره 32 - نفركيلومترمسافر به تفكيك ماه و مناطق در سال 1403 (مبدا  حركت ناحيه)</t>
  </si>
  <si>
    <t>جدول شماره 33 - نفركيلومترمسافر مناطق درسال 1403 و مقايسه آن با سال قبل</t>
  </si>
  <si>
    <t>جدول شماره 34   -تعداد مسافر جابه جا شده  به تفکیک محور در سال 1403</t>
  </si>
  <si>
    <t>جدول شماره 35   -نفر کیلومتر مسافر جابه جا شده  به تفکیک محور در سال 1403          (ارقام به هزار)</t>
  </si>
  <si>
    <t>جدول شماره 36- تعداد مسافر جابه جا شده  به تفکیک ادارات کل مناطق و  نوع قطار در سال 1403</t>
  </si>
  <si>
    <t>جدول شماره 37- نفر کیلومتر مسافر جابه جا شده  به تفکیک ادارات کل مناطق و  نوع قطار در سال 1403  (ارقام به هزار)</t>
  </si>
  <si>
    <t>جدول شماره 38 - آمار صندلی ایجادی به تفکیک محور در سال 1403</t>
  </si>
  <si>
    <r>
      <t xml:space="preserve">                                              جدول شماره 39- آمار صندلی کیلومتر به تفکیک محور در سال 1403                                                                </t>
    </r>
    <r>
      <rPr>
        <b/>
        <sz val="11"/>
        <color theme="1"/>
        <rFont val="B Nazanin"/>
        <charset val="178"/>
      </rPr>
      <t xml:space="preserve">ارقام به هزار     </t>
    </r>
    <r>
      <rPr>
        <b/>
        <sz val="14"/>
        <color theme="1"/>
        <rFont val="B Nazanin"/>
        <charset val="178"/>
      </rPr>
      <t xml:space="preserve">               </t>
    </r>
  </si>
  <si>
    <t>جدول شماره40- آمار عملکرد جابجایی مسافر ، صندلی ایجادی و ضریب اشغال به تفکیک محور سال1403</t>
  </si>
  <si>
    <t>جدول شماره41- آمار عملکرد جابجایی مسافر ،صندلی ایجادی و ضریب اشغال به تفکیک ماه سال1403</t>
  </si>
  <si>
    <t>جدول شماره42- آمار عملکردنفرکیلومتر ،صندلی کیلومتر و ضریب اشغال به تفکیک محور سال1403 (ارقام به هزار)</t>
  </si>
  <si>
    <t>جدول شماره43-آمار عملکرد نفرکیلومتر، صندلی کیلومتر و ضریب اشغال به تفکیک ماه سال1403(ارقام به هزار)</t>
  </si>
  <si>
    <t>جدول شماره 44- زمان و سرعت سیر برنامه ای و واقعی و میانگین تاخیرات به تفکیک محور(بین شهری) در سالهای 1403 -1402</t>
  </si>
  <si>
    <t>جدول شماره 47-  عمليات انجام شده در واحد هاي مختلف اداره كل خط و سازه هاي فني جهت نگهداري خطوط در سال 1403</t>
  </si>
  <si>
    <t xml:space="preserve">عنوان پروژه  ارتباطات </t>
  </si>
  <si>
    <t>واحد عملیات</t>
  </si>
  <si>
    <t>حجم  کل</t>
  </si>
  <si>
    <t>حجم انجام شده کل</t>
  </si>
  <si>
    <t xml:space="preserve">درصد پيشرفت </t>
  </si>
  <si>
    <t>خرید، نصب و راه اندازی مراکز خودکار</t>
  </si>
  <si>
    <t>ایستگاه</t>
  </si>
  <si>
    <t>خرید، نصب و راه اندازی سیستم نظارت تصویری (دوربین لکوموتیو)</t>
  </si>
  <si>
    <t>دوربین</t>
  </si>
  <si>
    <t>پوشش رادیویی تونلها</t>
  </si>
  <si>
    <t>توسعه شبکه کابل فیبر نوری</t>
  </si>
  <si>
    <t xml:space="preserve">عنوان پروژه علائم الکتریکی </t>
  </si>
  <si>
    <t>حجم کل</t>
  </si>
  <si>
    <t>تجهیز و نوسازی علائم الکتریکی محور جنوب</t>
  </si>
  <si>
    <t>تراک بندی دو خطه محور بافق-بندرعباس</t>
  </si>
  <si>
    <t>تراک بندی محور تهران-قم</t>
  </si>
  <si>
    <t>نصب سیتم توزین</t>
  </si>
  <si>
    <t>تجهیز مرکز مانیتورینگ سیستم دیسپچنگ</t>
  </si>
  <si>
    <t xml:space="preserve">ادارات كل مناطق </t>
  </si>
  <si>
    <t>علائم الكتريكي</t>
  </si>
  <si>
    <t>R.C</t>
  </si>
  <si>
    <t>C.T.C</t>
  </si>
  <si>
    <t>Local</t>
  </si>
  <si>
    <t>تعداد كل علائمي</t>
  </si>
  <si>
    <t>شمال شرق1</t>
  </si>
  <si>
    <t>شمال شرق2</t>
  </si>
  <si>
    <t>* توضیح: در سال 1403، بهسازی و نوسازی علائم الکتریکی 2 ایستگاه سربندر و راهگرد انجام شده است.</t>
  </si>
  <si>
    <t xml:space="preserve"> ادارات كل مناطق</t>
  </si>
  <si>
    <t>خط هوايي</t>
  </si>
  <si>
    <t>كابل فيبرنوري</t>
  </si>
  <si>
    <t>توضیح: بهسازی کابل فیبر نوری به میزان 120 کیلومتر در سال 1403 انجام گردیده است.</t>
  </si>
  <si>
    <t>ماخذ : شركت راه‌آهن جمهوري اسلامي ايران</t>
  </si>
  <si>
    <t>جدول شماره 53-  پروژه هاي ارتباطات  و علائم الکتریکی در سال 1403</t>
  </si>
  <si>
    <t xml:space="preserve">     جدول شماره 56 - آمار طول خطوط اصلي ( بصورت محوري ) در پايان اسفند 1403</t>
  </si>
  <si>
    <t>جدول شماره 57 -  طول خطوط اصلي و فرعي در سال 1403   (به ماخذ  اسفند ماه )</t>
  </si>
  <si>
    <t>جدول شماره 58- آمار خطوط حومه ای در پایان سال 1403</t>
  </si>
  <si>
    <t>جدول شماره 59 - تعداد ايستگاههاي ادارات كل مناطق در سال 1403</t>
  </si>
  <si>
    <t xml:space="preserve"> جدول شماره 60 -تعداد و نوع سوزنهاي ادارات کل مناطق در سال 1403</t>
  </si>
  <si>
    <t>جدول شماره 61-وضعيت شيب وفراز خطوط در سال 1403</t>
  </si>
  <si>
    <t xml:space="preserve">کیلومتر 196 ايستگاه چادرملو
دارانجیر _ خوشومی800+162 الی800+164 
</t>
  </si>
  <si>
    <t>جدول شماره 62 -تعداد تونلها و گالريها در شبكه خطوط راه آهن در سال 1403</t>
  </si>
  <si>
    <t xml:space="preserve">                                      جدول شماره 63- آمار کلی درزین های سبک موجود در خطوط راه آهن ج.ا.ا سال 1403</t>
  </si>
  <si>
    <r>
      <t xml:space="preserve">جدول شماره 21 - تن كيلومتر بار  مرزي به تفكيك ماه و مناطق در سال </t>
    </r>
    <r>
      <rPr>
        <b/>
        <sz val="14"/>
        <color theme="1"/>
        <rFont val="B Nazanin"/>
        <charset val="178"/>
      </rPr>
      <t>1403</t>
    </r>
  </si>
  <si>
    <t>تن کیلومتر به هزار</t>
  </si>
  <si>
    <t>نفر کیلومتر به هزار</t>
  </si>
  <si>
    <t>تن کیلومتر کامل</t>
  </si>
  <si>
    <t>واحد حمل</t>
  </si>
  <si>
    <t>جدول شماره 64 -  تعداد پلهاي مناطق به تفكيك نوع در سال1403</t>
  </si>
  <si>
    <t>اعتبار ابلاغی 
(اول سال)</t>
  </si>
  <si>
    <t>اعتبار نهایی (مندرج در موافقتنامه مبادله شده 1403)</t>
  </si>
  <si>
    <t>احداث قطار حومه اي تهران - قم و آنتنی فرودگاه امام خمینی و احداث راه آهن کمربندی قم و انتقال و جمع آوري راه آهن از داخل شهر قم</t>
  </si>
  <si>
    <r>
      <t xml:space="preserve">     جدول شماره 65 - تصوير نيروي کشش در سال 1403  </t>
    </r>
    <r>
      <rPr>
        <sz val="16"/>
        <color indexed="18"/>
        <rFont val="B Nazanin"/>
        <charset val="178"/>
      </rPr>
      <t xml:space="preserve">(ميانگين سال1403) </t>
    </r>
    <r>
      <rPr>
        <b/>
        <sz val="16"/>
        <color indexed="18"/>
        <rFont val="B Nazanin"/>
        <charset val="178"/>
      </rPr>
      <t xml:space="preserve">        </t>
    </r>
  </si>
  <si>
    <t>جدول شماره 66 - وضعیت نیروی کشش راه آهن در سال 1403</t>
  </si>
  <si>
    <t xml:space="preserve"> به ماخذ اسفند ماه</t>
  </si>
  <si>
    <t>جدول شماره 67 - تعداد واگنهاي باري در سال 1403</t>
  </si>
  <si>
    <t>جدول شماره 68 - تعداد دپو ها وكارخانجات به تفكيك نوع تعميرات در سال 1403</t>
  </si>
  <si>
    <r>
      <t xml:space="preserve">جدول شماره  </t>
    </r>
    <r>
      <rPr>
        <b/>
        <sz val="14"/>
        <color indexed="18"/>
        <rFont val="B Nazanin"/>
        <charset val="178"/>
      </rPr>
      <t>72</t>
    </r>
    <r>
      <rPr>
        <b/>
        <sz val="14"/>
        <color indexed="62"/>
        <rFont val="B Nazanin"/>
        <charset val="178"/>
      </rPr>
      <t>- خلاصه آمار مقايسه اي دوره هاي آموزشي در مرکز و مناطق در سال 1402 - 1403</t>
    </r>
  </si>
  <si>
    <t>جدول شماره 73 - تعداد فراگیران مركزآموزش در داخل وخارج از راه آهن در ده سال اخير</t>
  </si>
  <si>
    <t>جدول شماره 74 - تعداد فراگیران دوره‌های آموزشی درسال 1403</t>
  </si>
  <si>
    <t xml:space="preserve">ماخذ :  اداره کل امور مالي و اموال </t>
  </si>
  <si>
    <r>
      <rPr>
        <b/>
        <sz val="10"/>
        <rFont val="B Nazanin"/>
        <charset val="178"/>
      </rPr>
      <t xml:space="preserve"> توضیح</t>
    </r>
    <r>
      <rPr>
        <sz val="10"/>
        <rFont val="B Nazanin"/>
        <charset val="178"/>
      </rPr>
      <t>: مبالغ درآمد اداره کل راه آهن غرب بدلیل مرکز هزینه نبودن به قرار زیر است:
1- در آمد بخش بار داخلی در اداره کل راه آهن قم منظور شده است.
2- در آمد بخش بار بین الملل در اداره کل راه آهن اراک منظور شده است.</t>
    </r>
  </si>
  <si>
    <t>اطلاعات سال 1400 درج شده</t>
  </si>
  <si>
    <t>جدول شماره 81 - درآمد كل ایجادشده حمل بار مناطق درسال1403 و مقايسه آن با سال قبل</t>
  </si>
  <si>
    <t>این جدول اشکال دارد</t>
  </si>
  <si>
    <r>
      <t xml:space="preserve">جدول شماره 3 - خلاصه آمار راه آهن به تفكيك مناطق درسال </t>
    </r>
    <r>
      <rPr>
        <b/>
        <sz val="16"/>
        <color rgb="FFC00000"/>
        <rFont val="B Nazanin"/>
        <charset val="178"/>
      </rPr>
      <t>1403</t>
    </r>
    <r>
      <rPr>
        <b/>
        <sz val="16"/>
        <color indexed="56"/>
        <rFont val="B Nazanin"/>
        <charset val="178"/>
      </rPr>
      <t xml:space="preserve">          </t>
    </r>
  </si>
  <si>
    <t>جدول شماره 73 - وضعيت كاركنان ادارات كل ، دفاتر مركزي و پروژه های راه آهن در پايان سال 1403</t>
  </si>
  <si>
    <t>جدول شماره 75 - وضعيت تجمعي كاركنان راه آهن در پايان سال 1403</t>
  </si>
  <si>
    <t>جدول شماره 76 - تعداد كل كاركنان درسال 1403 ومقايسه آن با سال قبل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</si>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</sst>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164" formatCode="_ * #,##0.00_-_ر_ي_ا_ل_ ;_ * #,##0.00\-_ر_ي_ا_ل_ ;_ * &quot;-&quot;??_-_ر_ي_ا_ل_ ;_ @_ "/>
    <numFmt numFmtId="165" formatCode="0.0"/>
    <numFmt numFmtId="166" formatCode="_-&quot;$&quot;\ * #,##0.00_-;_-&quot;$&quot;\ * #,##0.00\-;_-&quot;$&quot;\ * &quot;-&quot;??_-;_-@_-"/>
    <numFmt numFmtId="167" formatCode="#,##0.00_ ;\-#,##0.00\ "/>
    <numFmt numFmtId="168" formatCode="#,##0.00000_ ;\-#,##0.00000\ "/>
    <numFmt numFmtId="169" formatCode="#,##0_ ;\-#,##0\ "/>
    <numFmt numFmtId="170" formatCode="0.000"/>
    <numFmt numFmtId="171" formatCode="#,##0.0"/>
    <numFmt numFmtId="172" formatCode="0.0000"/>
    <numFmt numFmtId="173" formatCode="_(* #,##0.00_);_(* \(#,##0.00\);_(* &quot;-&quot;??_);_(@_)"/>
    <numFmt numFmtId="174" formatCode="_-* #,##0_-;_-* #,##0\-;_-* &quot;-&quot;??_-;_-@_-"/>
    <numFmt numFmtId="175" formatCode="0.0%"/>
    <numFmt numFmtId="176" formatCode="#,##0.000"/>
    <numFmt numFmtId="177" formatCode="0.0000000"/>
    <numFmt numFmtId="178" formatCode="#,##0.000000"/>
    <numFmt numFmtId="179" formatCode="#,##0,,"/>
    <numFmt numFmtId="180" formatCode="[$-3000401]#,##0"/>
    <numFmt numFmtId="181" formatCode="[$-10409]#,##0;\-\ #,##0"/>
    <numFmt numFmtId="182" formatCode="0.000000"/>
    <numFmt numFmtId="183" formatCode="_-* #,##0.00_-;_-* #,##0.00\-;_-* &quot;-&quot;??_-;_-@_-"/>
    <numFmt numFmtId="184" formatCode="_-[$€-2]\ * #,##0.00_-;_-[$€-2]\ * #,##0.00\-;_-[$€-2]\ * &quot;-&quot;??_-"/>
    <numFmt numFmtId="185" formatCode="0_ ;\-0\ "/>
    <numFmt numFmtId="186" formatCode="#,##0_-&quot;ريال&quot;"/>
    <numFmt numFmtId="187" formatCode="_(* #,##0_);_(* \(#,##0\);_(* &quot;-&quot;??_);_(@_)"/>
    <numFmt numFmtId="188" formatCode="###\+###"/>
  </numFmts>
  <fonts count="21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B Roya"/>
      <charset val="178"/>
    </font>
    <font>
      <b/>
      <sz val="16"/>
      <color rgb="FF000099"/>
      <name val="B Nazanin"/>
      <charset val="178"/>
    </font>
    <font>
      <sz val="10"/>
      <name val="B Nazanin"/>
      <charset val="178"/>
    </font>
    <font>
      <b/>
      <sz val="10"/>
      <color rgb="FF000099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b/>
      <sz val="10"/>
      <color theme="1"/>
      <name val="B Nazanin"/>
      <charset val="178"/>
    </font>
    <font>
      <b/>
      <sz val="7.5"/>
      <name val="B Nazanin"/>
      <charset val="178"/>
    </font>
    <font>
      <b/>
      <sz val="10"/>
      <color rgb="FFFF0000"/>
      <name val="B Nazanin"/>
      <charset val="178"/>
    </font>
    <font>
      <b/>
      <sz val="11"/>
      <color theme="1"/>
      <name val="B Nazanin"/>
      <charset val="178"/>
    </font>
    <font>
      <sz val="11"/>
      <name val="B Nazanin"/>
      <charset val="178"/>
    </font>
    <font>
      <b/>
      <sz val="12"/>
      <color theme="1"/>
      <name val="B Nazanin"/>
      <charset val="178"/>
    </font>
    <font>
      <sz val="10"/>
      <color rgb="FFFF0000"/>
      <name val="B Nazanin"/>
      <charset val="178"/>
    </font>
    <font>
      <b/>
      <sz val="12"/>
      <color rgb="FFFF0000"/>
      <name val="B Nazanin"/>
      <charset val="178"/>
    </font>
    <font>
      <b/>
      <sz val="14"/>
      <name val="B Nazanin"/>
      <charset val="178"/>
    </font>
    <font>
      <b/>
      <sz val="12"/>
      <color rgb="FF000099"/>
      <name val="B Nazanin"/>
      <charset val="178"/>
    </font>
    <font>
      <sz val="10"/>
      <color rgb="FF000099"/>
      <name val="B Nazanin"/>
      <charset val="178"/>
    </font>
    <font>
      <b/>
      <sz val="12"/>
      <name val="B Nazanin"/>
      <charset val="178"/>
    </font>
    <font>
      <sz val="13"/>
      <name val="B Nazanin"/>
      <charset val="178"/>
    </font>
    <font>
      <sz val="11"/>
      <color theme="1"/>
      <name val="B Nazanin"/>
      <charset val="178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Arial"/>
      <family val="2"/>
    </font>
    <font>
      <b/>
      <sz val="11"/>
      <color rgb="FF000099"/>
      <name val="B Nazanin"/>
      <charset val="178"/>
    </font>
    <font>
      <sz val="12"/>
      <name val="B Nazanin"/>
      <charset val="178"/>
    </font>
    <font>
      <sz val="12"/>
      <color indexed="8"/>
      <name val="B Nazanin"/>
      <charset val="178"/>
    </font>
    <font>
      <b/>
      <sz val="10"/>
      <color indexed="8"/>
      <name val="B Nazanin"/>
      <charset val="178"/>
    </font>
    <font>
      <sz val="12"/>
      <color theme="1"/>
      <name val="B Nazanin"/>
      <charset val="178"/>
    </font>
    <font>
      <b/>
      <sz val="14"/>
      <color indexed="62"/>
      <name val="B Nazanin"/>
      <charset val="178"/>
    </font>
    <font>
      <b/>
      <sz val="10"/>
      <color indexed="62"/>
      <name val="B Nazanin"/>
      <charset val="178"/>
    </font>
    <font>
      <b/>
      <sz val="11"/>
      <color indexed="62"/>
      <name val="B Nazanin"/>
      <charset val="178"/>
    </font>
    <font>
      <b/>
      <sz val="16"/>
      <color indexed="56"/>
      <name val="B Nazanin"/>
      <charset val="178"/>
    </font>
    <font>
      <b/>
      <sz val="8"/>
      <name val="B Nazanin"/>
      <charset val="178"/>
    </font>
    <font>
      <b/>
      <sz val="13"/>
      <name val="B Nazanin"/>
      <charset val="178"/>
    </font>
    <font>
      <b/>
      <sz val="10"/>
      <color indexed="10"/>
      <name val="B Nazanin"/>
      <charset val="178"/>
    </font>
    <font>
      <b/>
      <sz val="9"/>
      <name val="B Nazanin"/>
      <charset val="178"/>
    </font>
    <font>
      <b/>
      <sz val="16"/>
      <color rgb="FFC00000"/>
      <name val="B Nazanin"/>
      <charset val="178"/>
    </font>
    <font>
      <sz val="11"/>
      <color theme="1"/>
      <name val="Tahoma"/>
      <family val="2"/>
    </font>
    <font>
      <b/>
      <sz val="9"/>
      <color indexed="10"/>
      <name val="B Nazanin"/>
      <charset val="178"/>
    </font>
    <font>
      <sz val="10"/>
      <color indexed="10"/>
      <name val="B Nazanin"/>
      <charset val="178"/>
    </font>
    <font>
      <sz val="12"/>
      <color rgb="FFC00000"/>
      <name val="B Nazanin"/>
      <charset val="178"/>
    </font>
    <font>
      <sz val="10"/>
      <color theme="1"/>
      <name val="B Nazanin"/>
      <charset val="178"/>
    </font>
    <font>
      <b/>
      <sz val="14"/>
      <color rgb="FF000099"/>
      <name val="B Nazanin"/>
      <charset val="178"/>
    </font>
    <font>
      <b/>
      <sz val="14"/>
      <color rgb="FF000099"/>
      <name val="B Zar"/>
      <charset val="178"/>
    </font>
    <font>
      <b/>
      <sz val="14"/>
      <color rgb="FFC00000"/>
      <name val="B Zar"/>
      <charset val="178"/>
    </font>
    <font>
      <sz val="10"/>
      <name val="B Zar"/>
      <charset val="178"/>
    </font>
    <font>
      <b/>
      <sz val="9"/>
      <name val="B Zar"/>
      <charset val="178"/>
    </font>
    <font>
      <b/>
      <sz val="11"/>
      <name val="B Zar"/>
      <charset val="178"/>
    </font>
    <font>
      <b/>
      <sz val="11"/>
      <color theme="0"/>
      <name val="B Zar"/>
      <charset val="178"/>
    </font>
    <font>
      <sz val="11"/>
      <color theme="0"/>
      <name val="B Zar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4"/>
      <color rgb="FFC00000"/>
      <name val="B Nazanin"/>
      <charset val="178"/>
    </font>
    <font>
      <sz val="10"/>
      <color theme="0"/>
      <name val="B Nazanin"/>
      <charset val="178"/>
    </font>
    <font>
      <sz val="10"/>
      <color indexed="62"/>
      <name val="B Nazanin"/>
      <charset val="178"/>
    </font>
    <font>
      <sz val="10"/>
      <color indexed="56"/>
      <name val="B Nazanin"/>
      <charset val="178"/>
    </font>
    <font>
      <b/>
      <sz val="10.5"/>
      <color indexed="18"/>
      <name val="B Nazanin"/>
      <charset val="178"/>
    </font>
    <font>
      <sz val="10"/>
      <color indexed="18"/>
      <name val="B Nazanin"/>
      <charset val="178"/>
    </font>
    <font>
      <sz val="8"/>
      <name val="B Nazanin"/>
      <charset val="178"/>
    </font>
    <font>
      <sz val="10"/>
      <color indexed="9"/>
      <name val="B Nazanin"/>
      <charset val="178"/>
    </font>
    <font>
      <sz val="9"/>
      <name val="Tahoma"/>
      <family val="2"/>
    </font>
    <font>
      <sz val="10"/>
      <color rgb="FF000080"/>
      <name val="Tahoma"/>
      <family val="2"/>
    </font>
    <font>
      <b/>
      <sz val="12"/>
      <color rgb="FF000080"/>
      <name val="Arial"/>
      <family val="2"/>
    </font>
    <font>
      <b/>
      <sz val="12"/>
      <name val="Arial"/>
      <family val="2"/>
    </font>
    <font>
      <b/>
      <sz val="12"/>
      <color rgb="FF800000"/>
      <name val="Arial"/>
      <family val="2"/>
    </font>
    <font>
      <b/>
      <sz val="10"/>
      <name val="Arial"/>
      <family val="2"/>
    </font>
    <font>
      <sz val="10"/>
      <color rgb="FF800000"/>
      <name val="B Roya"/>
      <charset val="178"/>
    </font>
    <font>
      <sz val="9"/>
      <name val="B Nazanin"/>
      <charset val="178"/>
    </font>
    <font>
      <b/>
      <sz val="11"/>
      <color theme="1"/>
      <name val="B Jalal"/>
      <charset val="178"/>
    </font>
    <font>
      <b/>
      <sz val="16"/>
      <color rgb="FFFF0000"/>
      <name val="B Nazanin"/>
      <charset val="178"/>
    </font>
    <font>
      <b/>
      <sz val="10"/>
      <name val="B Jalal"/>
      <charset val="178"/>
    </font>
    <font>
      <b/>
      <sz val="10"/>
      <color theme="1"/>
      <name val="B Jalal"/>
      <charset val="178"/>
    </font>
    <font>
      <b/>
      <sz val="9"/>
      <name val="B Jalal"/>
      <charset val="178"/>
    </font>
    <font>
      <b/>
      <sz val="14"/>
      <color rgb="FFFF0000"/>
      <name val="B Nazanin"/>
      <charset val="178"/>
    </font>
    <font>
      <sz val="14"/>
      <name val="B Nazanin"/>
      <charset val="178"/>
    </font>
    <font>
      <sz val="14"/>
      <color indexed="10"/>
      <name val="B Nazanin"/>
      <charset val="178"/>
    </font>
    <font>
      <sz val="11"/>
      <color indexed="8"/>
      <name val="Calibri"/>
      <family val="2"/>
      <charset val="178"/>
    </font>
    <font>
      <sz val="14"/>
      <color indexed="8"/>
      <name val="Calibri"/>
      <family val="2"/>
      <charset val="178"/>
    </font>
    <font>
      <b/>
      <sz val="14"/>
      <name val="Arial"/>
      <family val="2"/>
      <charset val="178"/>
    </font>
    <font>
      <sz val="14"/>
      <color theme="1"/>
      <name val="B Nazanin"/>
      <charset val="178"/>
    </font>
    <font>
      <b/>
      <sz val="8"/>
      <color indexed="10"/>
      <name val="B Nazanin"/>
      <charset val="178"/>
    </font>
    <font>
      <sz val="16"/>
      <name val="B Nazanin"/>
      <charset val="178"/>
    </font>
    <font>
      <b/>
      <sz val="10"/>
      <color indexed="56"/>
      <name val="B Nazanin"/>
      <charset val="178"/>
    </font>
    <font>
      <b/>
      <sz val="16"/>
      <color rgb="FF000099"/>
      <name val="B Zar"/>
      <charset val="178"/>
    </font>
    <font>
      <b/>
      <sz val="16"/>
      <color rgb="FFFF0000"/>
      <name val="B Zar"/>
      <charset val="178"/>
    </font>
    <font>
      <b/>
      <sz val="12"/>
      <name val="B Zar"/>
      <charset val="178"/>
    </font>
    <font>
      <b/>
      <sz val="10"/>
      <name val="B Zar"/>
      <charset val="178"/>
    </font>
    <font>
      <sz val="9"/>
      <color theme="1"/>
      <name val="B Zar"/>
      <charset val="178"/>
    </font>
    <font>
      <sz val="11"/>
      <name val="B Zar"/>
      <charset val="178"/>
    </font>
    <font>
      <b/>
      <sz val="8"/>
      <name val="B Zar"/>
      <charset val="178"/>
    </font>
    <font>
      <b/>
      <sz val="8"/>
      <color indexed="10"/>
      <name val="B Zar"/>
      <charset val="178"/>
    </font>
    <font>
      <sz val="16"/>
      <name val="B Zar"/>
      <charset val="178"/>
    </font>
    <font>
      <sz val="12"/>
      <name val="B Zar"/>
      <charset val="178"/>
    </font>
    <font>
      <b/>
      <sz val="16"/>
      <color indexed="62"/>
      <name val="B Nazanin"/>
      <charset val="178"/>
    </font>
    <font>
      <sz val="12"/>
      <color indexed="10"/>
      <name val="B Nazanin"/>
      <charset val="178"/>
    </font>
    <font>
      <b/>
      <sz val="12"/>
      <color indexed="62"/>
      <name val="B Nazanin"/>
      <charset val="178"/>
    </font>
    <font>
      <sz val="8"/>
      <name val="Zar"/>
      <charset val="178"/>
    </font>
    <font>
      <b/>
      <sz val="16"/>
      <name val="B Nazanin"/>
      <charset val="178"/>
    </font>
    <font>
      <sz val="20"/>
      <name val="B Nazanin"/>
      <charset val="178"/>
    </font>
    <font>
      <b/>
      <sz val="16"/>
      <name val="B Zar"/>
      <charset val="178"/>
    </font>
    <font>
      <sz val="14"/>
      <name val="B Roya"/>
      <charset val="178"/>
    </font>
    <font>
      <b/>
      <sz val="14"/>
      <name val="B Zar"/>
      <charset val="178"/>
    </font>
    <font>
      <sz val="11"/>
      <color rgb="FF000099"/>
      <name val="B Nazanin"/>
      <charset val="178"/>
    </font>
    <font>
      <b/>
      <sz val="9"/>
      <color rgb="FF000000"/>
      <name val="B Mitra"/>
      <charset val="178"/>
    </font>
    <font>
      <b/>
      <sz val="9"/>
      <name val="B Mitra"/>
      <charset val="178"/>
    </font>
    <font>
      <b/>
      <sz val="10"/>
      <color rgb="FF000000"/>
      <name val="B Nazanin"/>
      <charset val="178"/>
    </font>
    <font>
      <sz val="20"/>
      <name val="B Mitra"/>
      <charset val="178"/>
    </font>
    <font>
      <b/>
      <sz val="10"/>
      <color indexed="8"/>
      <name val="Nazanin"/>
      <charset val="178"/>
    </font>
    <font>
      <sz val="11"/>
      <color theme="1"/>
      <name val="B Nazanin"/>
      <family val="2"/>
      <charset val="178"/>
    </font>
    <font>
      <sz val="14"/>
      <color theme="1"/>
      <name val="Arial"/>
      <family val="2"/>
      <scheme val="minor"/>
    </font>
    <font>
      <sz val="9"/>
      <color indexed="62"/>
      <name val="B Nazanin"/>
      <charset val="178"/>
    </font>
    <font>
      <sz val="14"/>
      <name val="B Zar"/>
      <charset val="178"/>
    </font>
    <font>
      <sz val="11"/>
      <color indexed="8"/>
      <name val="B Nazanin"/>
      <charset val="178"/>
    </font>
    <font>
      <sz val="18"/>
      <name val="B Nazanin"/>
      <charset val="178"/>
    </font>
    <font>
      <sz val="14"/>
      <color indexed="8"/>
      <name val="B Nazanin"/>
      <charset val="178"/>
    </font>
    <font>
      <b/>
      <sz val="7"/>
      <name val="B Nazanin"/>
      <charset val="178"/>
    </font>
    <font>
      <b/>
      <sz val="9"/>
      <color theme="1"/>
      <name val="B Nazanin"/>
      <charset val="178"/>
    </font>
    <font>
      <b/>
      <sz val="8"/>
      <color theme="1"/>
      <name val="B Nazanin"/>
      <charset val="178"/>
    </font>
    <font>
      <b/>
      <sz val="9"/>
      <color theme="0"/>
      <name val="B Nazanin"/>
      <charset val="178"/>
    </font>
    <font>
      <b/>
      <sz val="10"/>
      <color theme="0"/>
      <name val="B Nazanin"/>
      <charset val="178"/>
    </font>
    <font>
      <b/>
      <sz val="16"/>
      <color theme="0"/>
      <name val="B Nazanin"/>
      <charset val="178"/>
    </font>
    <font>
      <sz val="9"/>
      <color indexed="9"/>
      <name val="B Nazanin"/>
      <charset val="178"/>
    </font>
    <font>
      <sz val="9"/>
      <color theme="0"/>
      <name val="B Nazanin"/>
      <charset val="178"/>
    </font>
    <font>
      <b/>
      <sz val="8"/>
      <color indexed="8"/>
      <name val="B Nazanin"/>
      <charset val="178"/>
    </font>
    <font>
      <sz val="10"/>
      <color indexed="8"/>
      <name val="B Nazanin"/>
      <charset val="178"/>
    </font>
    <font>
      <b/>
      <sz val="14"/>
      <color indexed="18"/>
      <name val="B Nazanin"/>
      <charset val="178"/>
    </font>
    <font>
      <sz val="11"/>
      <color rgb="FF000000"/>
      <name val="B Nazanin"/>
      <charset val="178"/>
    </font>
    <font>
      <sz val="10"/>
      <name val="B Mitra"/>
      <charset val="178"/>
    </font>
    <font>
      <b/>
      <sz val="20"/>
      <color indexed="62"/>
      <name val="B Nazanin"/>
      <charset val="178"/>
    </font>
    <font>
      <sz val="13"/>
      <color theme="1"/>
      <name val="B Nazanin"/>
      <charset val="178"/>
    </font>
    <font>
      <b/>
      <sz val="13"/>
      <color indexed="62"/>
      <name val="B Nazanin"/>
      <charset val="178"/>
    </font>
    <font>
      <b/>
      <sz val="13"/>
      <color rgb="FF000099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Arial"/>
      <family val="2"/>
      <scheme val="minor"/>
    </font>
    <font>
      <b/>
      <sz val="12"/>
      <color theme="1"/>
      <name val="B Titr"/>
      <charset val="178"/>
    </font>
    <font>
      <b/>
      <sz val="12"/>
      <color theme="1"/>
      <name val="B Zar"/>
      <charset val="178"/>
    </font>
    <font>
      <sz val="10"/>
      <color theme="1"/>
      <name val="Arial"/>
      <family val="2"/>
      <scheme val="minor"/>
    </font>
    <font>
      <b/>
      <sz val="20"/>
      <color theme="1"/>
      <name val="B Zar"/>
      <charset val="178"/>
    </font>
    <font>
      <sz val="16"/>
      <color theme="1"/>
      <name val="B Zar"/>
      <charset val="178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b/>
      <sz val="14"/>
      <color theme="4" tint="-0.499984740745262"/>
      <name val="B Zar"/>
      <charset val="178"/>
    </font>
    <font>
      <b/>
      <sz val="14"/>
      <color theme="1"/>
      <name val="B Zar"/>
      <charset val="178"/>
    </font>
    <font>
      <b/>
      <sz val="18"/>
      <name val="B Nazanin"/>
      <charset val="178"/>
    </font>
    <font>
      <sz val="11"/>
      <color indexed="8"/>
      <name val="Arial"/>
      <family val="2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2"/>
      <color indexed="8"/>
      <name val="Arial"/>
      <family val="2"/>
      <scheme val="minor"/>
    </font>
    <font>
      <b/>
      <sz val="14"/>
      <color indexed="8"/>
      <name val="B Nazanin"/>
      <charset val="178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indexed="62"/>
      <name val="B Nazanin"/>
      <charset val="178"/>
    </font>
    <font>
      <b/>
      <sz val="14"/>
      <name val="B Jalal"/>
      <charset val="178"/>
    </font>
    <font>
      <b/>
      <sz val="20"/>
      <name val="B Nazanin"/>
      <charset val="178"/>
    </font>
    <font>
      <sz val="12"/>
      <color indexed="62"/>
      <name val="B Nazanin"/>
      <charset val="178"/>
    </font>
    <font>
      <b/>
      <sz val="22"/>
      <color rgb="FF000099"/>
      <name val="B Nazanin"/>
      <charset val="178"/>
    </font>
    <font>
      <b/>
      <sz val="16"/>
      <color indexed="8"/>
      <name val="B Nazanin"/>
      <charset val="178"/>
    </font>
    <font>
      <sz val="16"/>
      <color indexed="8"/>
      <name val="B Nazanin"/>
      <charset val="178"/>
    </font>
    <font>
      <sz val="11"/>
      <name val="Calibri"/>
      <family val="2"/>
    </font>
    <font>
      <b/>
      <sz val="10"/>
      <name val="B Koodak"/>
      <charset val="178"/>
    </font>
    <font>
      <sz val="13"/>
      <color indexed="8"/>
      <name val="B Nazanin"/>
      <charset val="178"/>
    </font>
    <font>
      <b/>
      <sz val="10"/>
      <name val="B Roya"/>
      <charset val="178"/>
    </font>
    <font>
      <b/>
      <sz val="8"/>
      <name val="B Roya"/>
      <charset val="178"/>
    </font>
    <font>
      <sz val="11"/>
      <color rgb="FFFF0000"/>
      <name val="Calibri"/>
      <family val="2"/>
    </font>
    <font>
      <sz val="16"/>
      <color indexed="18"/>
      <name val="B Nazanin"/>
      <charset val="178"/>
    </font>
    <font>
      <b/>
      <sz val="16"/>
      <color indexed="18"/>
      <name val="B Nazanin"/>
      <charset val="178"/>
    </font>
    <font>
      <sz val="9"/>
      <color indexed="81"/>
      <name val="Tahoma"/>
      <family val="2"/>
    </font>
    <font>
      <b/>
      <sz val="9"/>
      <color indexed="81"/>
      <name val="Tahoma"/>
      <charset val="178"/>
    </font>
    <font>
      <sz val="9"/>
      <color indexed="81"/>
      <name val="Tahoma"/>
      <charset val="178"/>
    </font>
    <font>
      <sz val="42"/>
      <name val="B Ziba"/>
      <charset val="178"/>
    </font>
    <font>
      <b/>
      <sz val="20"/>
      <color rgb="FF000099"/>
      <name val="B Nazanin"/>
      <charset val="178"/>
    </font>
    <font>
      <b/>
      <sz val="13"/>
      <color theme="1"/>
      <name val="B Nazanin"/>
      <charset val="178"/>
    </font>
    <font>
      <b/>
      <sz val="13"/>
      <color theme="1"/>
      <name val="B Mehr"/>
      <charset val="178"/>
    </font>
    <font>
      <b/>
      <sz val="13"/>
      <name val="B Mehr"/>
      <charset val="178"/>
    </font>
    <font>
      <b/>
      <sz val="10"/>
      <name val="B Mitra"/>
      <charset val="178"/>
    </font>
    <font>
      <sz val="12"/>
      <color theme="1"/>
      <name val="B Zar"/>
      <charset val="178"/>
    </font>
    <font>
      <u/>
      <sz val="10"/>
      <color theme="10"/>
      <name val="Arial"/>
      <family val="2"/>
    </font>
    <font>
      <b/>
      <sz val="16"/>
      <color theme="1"/>
      <name val="B Nazanin"/>
      <charset val="178"/>
    </font>
    <font>
      <sz val="13"/>
      <color theme="1"/>
      <name val="B Mehr"/>
      <charset val="178"/>
    </font>
    <font>
      <b/>
      <sz val="16"/>
      <color theme="1"/>
      <name val="B Titr"/>
      <charset val="178"/>
    </font>
    <font>
      <b/>
      <sz val="10"/>
      <color theme="1"/>
      <name val="B Titr"/>
      <charset val="178"/>
    </font>
    <font>
      <sz val="10"/>
      <color theme="1"/>
      <name val="B Titr"/>
      <charset val="178"/>
    </font>
    <font>
      <b/>
      <sz val="14"/>
      <color theme="1"/>
      <name val="B Titr"/>
      <charset val="178"/>
    </font>
    <font>
      <sz val="12"/>
      <color theme="1"/>
      <name val="B Titr"/>
      <charset val="178"/>
    </font>
    <font>
      <u/>
      <sz val="12"/>
      <color theme="1"/>
      <name val="B Nazanin"/>
      <charset val="178"/>
    </font>
    <font>
      <sz val="14"/>
      <color theme="1"/>
      <name val="B Titr"/>
      <charset val="178"/>
    </font>
    <font>
      <b/>
      <sz val="11"/>
      <color theme="1"/>
      <name val="B Titr"/>
      <charset val="178"/>
    </font>
    <font>
      <sz val="8"/>
      <color theme="1"/>
      <name val="B Nazanin"/>
      <charset val="178"/>
    </font>
    <font>
      <b/>
      <sz val="8"/>
      <color theme="1"/>
      <name val="B Titr"/>
      <charset val="178"/>
    </font>
    <font>
      <b/>
      <sz val="9"/>
      <color theme="1"/>
      <name val="B Titr"/>
      <charset val="178"/>
    </font>
    <font>
      <sz val="10"/>
      <name val="Tahoma"/>
      <family val="2"/>
    </font>
    <font>
      <b/>
      <sz val="9"/>
      <color rgb="FF000000"/>
      <name val="B Zar"/>
      <charset val="178"/>
    </font>
    <font>
      <sz val="14"/>
      <color theme="1"/>
      <name val="B Zar"/>
      <charset val="178"/>
    </font>
    <font>
      <sz val="14"/>
      <color rgb="FF000099"/>
      <name val="B Zar"/>
      <charset val="178"/>
    </font>
    <font>
      <sz val="18"/>
      <color rgb="FF000099"/>
      <name val="B Zar"/>
      <charset val="178"/>
    </font>
    <font>
      <b/>
      <sz val="12"/>
      <color indexed="9"/>
      <name val="B Yekan"/>
      <charset val="178"/>
    </font>
    <font>
      <b/>
      <sz val="12"/>
      <name val="B Yekan"/>
      <charset val="178"/>
    </font>
    <font>
      <sz val="12"/>
      <name val="B Yekan"/>
      <charset val="178"/>
    </font>
    <font>
      <sz val="12"/>
      <color indexed="10"/>
      <name val="B Yekan"/>
      <charset val="178"/>
    </font>
    <font>
      <sz val="12"/>
      <color theme="1"/>
      <name val="Arial"/>
      <family val="2"/>
      <charset val="178"/>
      <scheme val="minor"/>
    </font>
    <font>
      <sz val="12"/>
      <color rgb="FFFF0000"/>
      <name val="B Nazanin"/>
      <charset val="178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EAEAEA"/>
        <bgColor indexed="64"/>
      </patternFill>
    </fill>
    <fill>
      <patternFill patternType="solid">
        <fgColor rgb="FFF0FFFF"/>
        <bgColor indexed="64"/>
      </patternFill>
    </fill>
    <fill>
      <patternFill patternType="solid">
        <fgColor rgb="FFFFF2FF"/>
        <bgColor indexed="64"/>
      </patternFill>
    </fill>
    <fill>
      <patternFill patternType="lightUp">
        <fgColor indexed="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BFBD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lightGray"/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9" tint="0.59999389629810485"/>
        <bgColor theme="5" tint="0.79998168889431442"/>
      </patternFill>
    </fill>
  </fills>
  <borders count="2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Dashed">
        <color rgb="FF000000"/>
      </left>
      <right style="medium">
        <color rgb="FF666666"/>
      </right>
      <top style="mediumDashed">
        <color rgb="FF000000"/>
      </top>
      <bottom style="mediumDashed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0.59999389629810485"/>
      </bottom>
      <diagonal/>
    </border>
    <border>
      <left/>
      <right/>
      <top style="thin">
        <color theme="5" tint="-0.249977111117893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80"/>
      </top>
      <bottom style="medium">
        <color rgb="FF000080"/>
      </bottom>
      <diagonal/>
    </border>
    <border>
      <left/>
      <right/>
      <top style="medium">
        <color rgb="FF00008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 diagonalUp="1">
      <left style="thick">
        <color auto="1"/>
      </left>
      <right style="thick">
        <color indexed="64"/>
      </right>
      <top style="thick">
        <color auto="1"/>
      </top>
      <bottom style="thick">
        <color indexed="64"/>
      </bottom>
      <diagonal style="thin">
        <color indexed="64"/>
      </diagonal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ashed">
        <color indexed="64"/>
      </bottom>
      <diagonal/>
    </border>
    <border>
      <left style="thick">
        <color indexed="64"/>
      </left>
      <right/>
      <top style="dashed">
        <color indexed="64"/>
      </top>
      <bottom style="dashed">
        <color indexed="64"/>
      </bottom>
      <diagonal/>
    </border>
    <border>
      <left style="thick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/>
      <top style="dashed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252">
    <xf numFmtId="0" fontId="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30" fillId="0" borderId="0"/>
    <xf numFmtId="0" fontId="7" fillId="0" borderId="0"/>
    <xf numFmtId="0" fontId="6" fillId="0" borderId="0"/>
    <xf numFmtId="0" fontId="27" fillId="0" borderId="0"/>
    <xf numFmtId="0" fontId="7" fillId="0" borderId="0"/>
    <xf numFmtId="166" fontId="7" fillId="0" borderId="0" applyFont="0" applyFill="0" applyBorder="0" applyAlignment="0" applyProtection="0"/>
    <xf numFmtId="0" fontId="30" fillId="0" borderId="0"/>
    <xf numFmtId="0" fontId="30" fillId="0" borderId="0"/>
    <xf numFmtId="0" fontId="6" fillId="0" borderId="0"/>
    <xf numFmtId="0" fontId="7" fillId="0" borderId="0"/>
    <xf numFmtId="0" fontId="30" fillId="0" borderId="0"/>
    <xf numFmtId="0" fontId="7" fillId="0" borderId="0"/>
    <xf numFmtId="0" fontId="7" fillId="0" borderId="0"/>
    <xf numFmtId="173" fontId="7" fillId="0" borderId="0" applyFont="0" applyFill="0" applyBorder="0" applyAlignment="0" applyProtection="0"/>
    <xf numFmtId="0" fontId="7" fillId="0" borderId="0"/>
    <xf numFmtId="0" fontId="84" fillId="0" borderId="0"/>
    <xf numFmtId="0" fontId="7" fillId="0" borderId="0"/>
    <xf numFmtId="0" fontId="104" fillId="0" borderId="0"/>
    <xf numFmtId="0" fontId="7" fillId="0" borderId="0"/>
    <xf numFmtId="0" fontId="6" fillId="0" borderId="0"/>
    <xf numFmtId="0" fontId="30" fillId="0" borderId="0"/>
    <xf numFmtId="0" fontId="1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183" fontId="6" fillId="0" borderId="0" applyFont="0" applyFill="0" applyBorder="0" applyAlignment="0" applyProtection="0"/>
    <xf numFmtId="0" fontId="6" fillId="0" borderId="0"/>
    <xf numFmtId="0" fontId="27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7" fillId="0" borderId="0"/>
    <xf numFmtId="0" fontId="30" fillId="0" borderId="0"/>
    <xf numFmtId="9" fontId="7" fillId="0" borderId="0" applyFont="0" applyFill="0" applyBorder="0" applyAlignment="0" applyProtection="0"/>
    <xf numFmtId="184" fontId="147" fillId="0" borderId="0"/>
    <xf numFmtId="173" fontId="147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152" fillId="0" borderId="0"/>
    <xf numFmtId="0" fontId="6" fillId="0" borderId="0"/>
    <xf numFmtId="0" fontId="7" fillId="0" borderId="0"/>
    <xf numFmtId="0" fontId="152" fillId="0" borderId="0"/>
    <xf numFmtId="0" fontId="167" fillId="0" borderId="0"/>
    <xf numFmtId="0" fontId="30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8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199" fillId="0" borderId="0"/>
    <xf numFmtId="0" fontId="27" fillId="0" borderId="0"/>
    <xf numFmtId="0" fontId="5" fillId="0" borderId="0"/>
    <xf numFmtId="0" fontId="3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80">
    <xf numFmtId="0" fontId="0" fillId="0" borderId="0" xfId="0"/>
    <xf numFmtId="0" fontId="9" fillId="0" borderId="0" xfId="1" applyFont="1" applyFill="1"/>
    <xf numFmtId="3" fontId="13" fillId="0" borderId="9" xfId="2" applyNumberFormat="1" applyFont="1" applyFill="1" applyBorder="1" applyAlignment="1">
      <alignment horizontal="center" vertical="center"/>
    </xf>
    <xf numFmtId="9" fontId="13" fillId="0" borderId="9" xfId="3" applyFont="1" applyFill="1" applyBorder="1" applyAlignment="1">
      <alignment horizontal="center" vertical="center"/>
    </xf>
    <xf numFmtId="9" fontId="13" fillId="0" borderId="10" xfId="3" applyFont="1" applyFill="1" applyBorder="1" applyAlignment="1">
      <alignment horizontal="center" vertical="center"/>
    </xf>
    <xf numFmtId="3" fontId="13" fillId="0" borderId="12" xfId="2" applyNumberFormat="1" applyFont="1" applyFill="1" applyBorder="1" applyAlignment="1">
      <alignment horizontal="center" vertical="center"/>
    </xf>
    <xf numFmtId="9" fontId="13" fillId="0" borderId="12" xfId="3" applyFont="1" applyFill="1" applyBorder="1" applyAlignment="1">
      <alignment horizontal="center" vertical="center"/>
    </xf>
    <xf numFmtId="9" fontId="13" fillId="0" borderId="13" xfId="3" applyFont="1" applyFill="1" applyBorder="1" applyAlignment="1">
      <alignment horizontal="center" vertical="center"/>
    </xf>
    <xf numFmtId="0" fontId="17" fillId="0" borderId="0" xfId="1" applyFont="1" applyFill="1"/>
    <xf numFmtId="0" fontId="11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"/>
    </xf>
    <xf numFmtId="165" fontId="21" fillId="0" borderId="0" xfId="1" applyNumberFormat="1" applyFont="1" applyFill="1" applyAlignment="1">
      <alignment horizontal="center" vertical="center"/>
    </xf>
    <xf numFmtId="3" fontId="25" fillId="0" borderId="22" xfId="1" applyNumberFormat="1" applyFont="1" applyFill="1" applyBorder="1" applyAlignment="1">
      <alignment horizontal="right" vertical="center" indent="1"/>
    </xf>
    <xf numFmtId="3" fontId="25" fillId="2" borderId="22" xfId="1" applyNumberFormat="1" applyFont="1" applyFill="1" applyBorder="1" applyAlignment="1">
      <alignment horizontal="right" vertical="center" indent="1"/>
    </xf>
    <xf numFmtId="3" fontId="25" fillId="0" borderId="28" xfId="1" applyNumberFormat="1" applyFont="1" applyFill="1" applyBorder="1" applyAlignment="1">
      <alignment horizontal="right" vertical="center" indent="1"/>
    </xf>
    <xf numFmtId="3" fontId="25" fillId="0" borderId="31" xfId="1" applyNumberFormat="1" applyFont="1" applyFill="1" applyBorder="1" applyAlignment="1">
      <alignment horizontal="right" vertical="center" indent="1"/>
    </xf>
    <xf numFmtId="9" fontId="13" fillId="0" borderId="34" xfId="3" applyFont="1" applyFill="1" applyBorder="1" applyAlignment="1">
      <alignment horizontal="center" vertical="center"/>
    </xf>
    <xf numFmtId="0" fontId="9" fillId="0" borderId="0" xfId="4" applyFont="1" applyAlignment="1">
      <alignment vertical="center"/>
    </xf>
    <xf numFmtId="1" fontId="33" fillId="0" borderId="37" xfId="6" applyNumberFormat="1" applyFont="1" applyBorder="1" applyAlignment="1">
      <alignment horizontal="center" vertical="center"/>
    </xf>
    <xf numFmtId="1" fontId="33" fillId="0" borderId="24" xfId="6" applyNumberFormat="1" applyFont="1" applyBorder="1" applyAlignment="1">
      <alignment horizontal="center" vertical="center"/>
    </xf>
    <xf numFmtId="1" fontId="33" fillId="0" borderId="39" xfId="6" applyNumberFormat="1" applyFont="1" applyBorder="1" applyAlignment="1">
      <alignment horizontal="center" vertical="center"/>
    </xf>
    <xf numFmtId="1" fontId="9" fillId="0" borderId="0" xfId="4" applyNumberFormat="1" applyFont="1" applyAlignment="1">
      <alignment vertical="center"/>
    </xf>
    <xf numFmtId="0" fontId="7" fillId="0" borderId="0" xfId="1"/>
    <xf numFmtId="0" fontId="9" fillId="0" borderId="0" xfId="5" applyFont="1" applyAlignment="1">
      <alignment vertical="center"/>
    </xf>
    <xf numFmtId="0" fontId="31" fillId="0" borderId="0" xfId="4" applyFont="1" applyAlignment="1">
      <alignment vertical="center"/>
    </xf>
    <xf numFmtId="0" fontId="26" fillId="0" borderId="0" xfId="6" applyFont="1" applyAlignment="1">
      <alignment vertical="center"/>
    </xf>
    <xf numFmtId="0" fontId="6" fillId="0" borderId="0" xfId="6"/>
    <xf numFmtId="3" fontId="6" fillId="0" borderId="0" xfId="6" applyNumberFormat="1" applyAlignment="1">
      <alignment vertical="top"/>
    </xf>
    <xf numFmtId="0" fontId="6" fillId="0" borderId="0" xfId="6" applyAlignment="1">
      <alignment vertical="top"/>
    </xf>
    <xf numFmtId="1" fontId="33" fillId="0" borderId="21" xfId="6" applyNumberFormat="1" applyFont="1" applyBorder="1" applyAlignment="1">
      <alignment vertical="center"/>
    </xf>
    <xf numFmtId="1" fontId="33" fillId="0" borderId="46" xfId="6" applyNumberFormat="1" applyFont="1" applyBorder="1" applyAlignment="1">
      <alignment vertical="center"/>
    </xf>
    <xf numFmtId="0" fontId="13" fillId="0" borderId="3" xfId="1" applyFont="1" applyBorder="1" applyAlignment="1">
      <alignment horizontal="center" vertical="top" wrapText="1" readingOrder="2"/>
    </xf>
    <xf numFmtId="1" fontId="33" fillId="0" borderId="24" xfId="6" applyNumberFormat="1" applyFont="1" applyBorder="1" applyAlignment="1">
      <alignment vertical="center"/>
    </xf>
    <xf numFmtId="1" fontId="33" fillId="0" borderId="29" xfId="6" applyNumberFormat="1" applyFont="1" applyBorder="1" applyAlignment="1">
      <alignment vertical="center"/>
    </xf>
    <xf numFmtId="0" fontId="13" fillId="0" borderId="12" xfId="1" applyFont="1" applyBorder="1" applyAlignment="1">
      <alignment horizontal="center" vertical="top" wrapText="1" readingOrder="2"/>
    </xf>
    <xf numFmtId="0" fontId="13" fillId="0" borderId="6" xfId="1" applyFont="1" applyBorder="1" applyAlignment="1">
      <alignment horizontal="center" vertical="top" wrapText="1" readingOrder="2"/>
    </xf>
    <xf numFmtId="3" fontId="6" fillId="0" borderId="0" xfId="6" applyNumberFormat="1"/>
    <xf numFmtId="0" fontId="34" fillId="0" borderId="15" xfId="6" applyFont="1" applyBorder="1" applyAlignment="1">
      <alignment horizontal="center" vertical="center" readingOrder="2"/>
    </xf>
    <xf numFmtId="1" fontId="9" fillId="0" borderId="0" xfId="5" applyNumberFormat="1" applyFont="1" applyAlignment="1">
      <alignment horizontal="right" vertical="center"/>
    </xf>
    <xf numFmtId="0" fontId="9" fillId="0" borderId="0" xfId="8" applyFont="1" applyAlignment="1">
      <alignment horizontal="center" vertical="center"/>
    </xf>
    <xf numFmtId="0" fontId="24" fillId="0" borderId="0" xfId="8" applyFont="1" applyAlignment="1">
      <alignment horizontal="center" vertical="center"/>
    </xf>
    <xf numFmtId="0" fontId="12" fillId="0" borderId="45" xfId="8" applyFont="1" applyBorder="1" applyAlignment="1">
      <alignment horizontal="center" vertical="center"/>
    </xf>
    <xf numFmtId="0" fontId="37" fillId="0" borderId="0" xfId="8" applyFont="1" applyAlignment="1">
      <alignment horizontal="center" vertical="center"/>
    </xf>
    <xf numFmtId="0" fontId="38" fillId="0" borderId="0" xfId="8" applyFont="1" applyAlignment="1">
      <alignment horizontal="center" vertical="center"/>
    </xf>
    <xf numFmtId="0" fontId="9" fillId="0" borderId="0" xfId="1" applyFont="1" applyAlignment="1">
      <alignment vertical="center"/>
    </xf>
    <xf numFmtId="0" fontId="39" fillId="0" borderId="1" xfId="1" applyFont="1" applyBorder="1" applyAlignment="1">
      <alignment vertical="center"/>
    </xf>
    <xf numFmtId="0" fontId="39" fillId="0" borderId="1" xfId="1" applyFont="1" applyBorder="1" applyAlignment="1">
      <alignment horizontal="left" vertical="center"/>
    </xf>
    <xf numFmtId="0" fontId="21" fillId="0" borderId="47" xfId="1" applyFont="1" applyBorder="1" applyAlignment="1">
      <alignment horizontal="center" vertical="center"/>
    </xf>
    <xf numFmtId="0" fontId="21" fillId="0" borderId="48" xfId="1" applyFont="1" applyBorder="1" applyAlignment="1">
      <alignment horizontal="center" vertical="center"/>
    </xf>
    <xf numFmtId="0" fontId="21" fillId="0" borderId="41" xfId="1" applyFont="1" applyBorder="1" applyAlignment="1">
      <alignment horizontal="center" vertical="center"/>
    </xf>
    <xf numFmtId="0" fontId="21" fillId="0" borderId="36" xfId="1" applyFont="1" applyBorder="1" applyAlignment="1">
      <alignment horizontal="center" vertical="center"/>
    </xf>
    <xf numFmtId="0" fontId="40" fillId="0" borderId="23" xfId="1" applyFont="1" applyBorder="1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/>
    </xf>
    <xf numFmtId="3" fontId="32" fillId="0" borderId="50" xfId="4" applyNumberFormat="1" applyFont="1" applyBorder="1" applyAlignment="1">
      <alignment horizontal="center" vertical="center"/>
    </xf>
    <xf numFmtId="3" fontId="32" fillId="0" borderId="46" xfId="4" applyNumberFormat="1" applyFont="1" applyBorder="1" applyAlignment="1">
      <alignment horizontal="center" vertical="center"/>
    </xf>
    <xf numFmtId="3" fontId="32" fillId="0" borderId="9" xfId="4" applyNumberFormat="1" applyFont="1" applyBorder="1" applyAlignment="1">
      <alignment horizontal="center" vertical="center"/>
    </xf>
    <xf numFmtId="3" fontId="32" fillId="0" borderId="23" xfId="4" applyNumberFormat="1" applyFont="1" applyBorder="1" applyAlignment="1">
      <alignment horizontal="center" vertical="center"/>
    </xf>
    <xf numFmtId="0" fontId="40" fillId="0" borderId="26" xfId="1" applyFont="1" applyBorder="1" applyAlignment="1">
      <alignment horizontal="center" vertical="center"/>
    </xf>
    <xf numFmtId="3" fontId="32" fillId="0" borderId="29" xfId="1" applyNumberFormat="1" applyFont="1" applyBorder="1" applyAlignment="1">
      <alignment horizontal="center" vertical="center"/>
    </xf>
    <xf numFmtId="3" fontId="32" fillId="0" borderId="29" xfId="4" applyNumberFormat="1" applyFont="1" applyBorder="1" applyAlignment="1">
      <alignment horizontal="center" vertical="center"/>
    </xf>
    <xf numFmtId="3" fontId="32" fillId="0" borderId="12" xfId="4" applyNumberFormat="1" applyFont="1" applyBorder="1" applyAlignment="1">
      <alignment horizontal="center" vertical="center"/>
    </xf>
    <xf numFmtId="3" fontId="32" fillId="0" borderId="26" xfId="4" applyNumberFormat="1" applyFont="1" applyBorder="1" applyAlignment="1">
      <alignment horizontal="center" vertical="center"/>
    </xf>
    <xf numFmtId="0" fontId="12" fillId="0" borderId="55" xfId="1" applyFont="1" applyBorder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55" xfId="4" applyNumberFormat="1" applyFont="1" applyBorder="1" applyAlignment="1">
      <alignment horizontal="center" vertical="center"/>
    </xf>
    <xf numFmtId="1" fontId="9" fillId="0" borderId="0" xfId="1" applyNumberFormat="1" applyFont="1" applyAlignment="1">
      <alignment vertical="center"/>
    </xf>
    <xf numFmtId="166" fontId="9" fillId="0" borderId="0" xfId="9" applyFont="1" applyFill="1" applyAlignment="1">
      <alignment vertical="center"/>
    </xf>
    <xf numFmtId="3" fontId="32" fillId="0" borderId="46" xfId="1" applyNumberFormat="1" applyFont="1" applyBorder="1" applyAlignment="1">
      <alignment horizontal="center" vertical="center"/>
    </xf>
    <xf numFmtId="3" fontId="32" fillId="0" borderId="26" xfId="1" applyNumberFormat="1" applyFont="1" applyBorder="1" applyAlignment="1">
      <alignment horizontal="center" vertical="center"/>
    </xf>
    <xf numFmtId="3" fontId="32" fillId="2" borderId="26" xfId="1" applyNumberFormat="1" applyFont="1" applyFill="1" applyBorder="1" applyAlignment="1">
      <alignment horizontal="center" vertical="center"/>
    </xf>
    <xf numFmtId="3" fontId="32" fillId="0" borderId="40" xfId="1" applyNumberFormat="1" applyFont="1" applyBorder="1" applyAlignment="1">
      <alignment horizontal="center" vertical="center"/>
    </xf>
    <xf numFmtId="167" fontId="9" fillId="0" borderId="0" xfId="9" applyNumberFormat="1" applyFont="1" applyFill="1" applyAlignment="1">
      <alignment vertical="center"/>
    </xf>
    <xf numFmtId="0" fontId="40" fillId="0" borderId="40" xfId="1" applyFont="1" applyBorder="1" applyAlignment="1">
      <alignment horizontal="center" vertical="center"/>
    </xf>
    <xf numFmtId="3" fontId="32" fillId="0" borderId="56" xfId="1" applyNumberFormat="1" applyFont="1" applyBorder="1" applyAlignment="1">
      <alignment horizontal="center" vertical="center"/>
    </xf>
    <xf numFmtId="168" fontId="9" fillId="0" borderId="0" xfId="9" applyNumberFormat="1" applyFont="1" applyFill="1" applyAlignment="1">
      <alignment vertical="center"/>
    </xf>
    <xf numFmtId="169" fontId="9" fillId="0" borderId="0" xfId="9" applyNumberFormat="1" applyFont="1" applyFill="1" applyAlignment="1">
      <alignment vertical="center"/>
    </xf>
    <xf numFmtId="3" fontId="32" fillId="0" borderId="23" xfId="1" applyNumberFormat="1" applyFont="1" applyBorder="1" applyAlignment="1">
      <alignment horizontal="center" vertical="center"/>
    </xf>
    <xf numFmtId="0" fontId="40" fillId="0" borderId="57" xfId="1" applyFont="1" applyBorder="1" applyAlignment="1">
      <alignment horizontal="center" vertical="center"/>
    </xf>
    <xf numFmtId="3" fontId="32" fillId="0" borderId="59" xfId="1" applyNumberFormat="1" applyFont="1" applyBorder="1" applyAlignment="1">
      <alignment horizontal="center" vertical="center"/>
    </xf>
    <xf numFmtId="3" fontId="32" fillId="0" borderId="57" xfId="1" applyNumberFormat="1" applyFont="1" applyBorder="1" applyAlignment="1">
      <alignment horizontal="center" vertical="center"/>
    </xf>
    <xf numFmtId="3" fontId="32" fillId="0" borderId="32" xfId="4" applyNumberFormat="1" applyFont="1" applyBorder="1" applyAlignment="1">
      <alignment horizontal="center" vertical="center"/>
    </xf>
    <xf numFmtId="0" fontId="40" fillId="0" borderId="47" xfId="1" applyFont="1" applyBorder="1" applyAlignment="1">
      <alignment horizontal="center" vertical="center"/>
    </xf>
    <xf numFmtId="3" fontId="32" fillId="0" borderId="41" xfId="1" applyNumberFormat="1" applyFont="1" applyBorder="1" applyAlignment="1">
      <alignment horizontal="center" vertical="center"/>
    </xf>
    <xf numFmtId="3" fontId="32" fillId="0" borderId="36" xfId="1" applyNumberFormat="1" applyFont="1" applyBorder="1" applyAlignment="1">
      <alignment horizontal="center" vertical="center"/>
    </xf>
    <xf numFmtId="0" fontId="40" fillId="0" borderId="36" xfId="1" applyFont="1" applyBorder="1" applyAlignment="1">
      <alignment horizontal="center" vertical="center"/>
    </xf>
    <xf numFmtId="166" fontId="41" fillId="0" borderId="63" xfId="9" applyFont="1" applyFill="1" applyBorder="1" applyAlignment="1">
      <alignment horizontal="right" vertical="center"/>
    </xf>
    <xf numFmtId="166" fontId="41" fillId="0" borderId="59" xfId="9" applyFont="1" applyFill="1" applyBorder="1" applyAlignment="1">
      <alignment horizontal="right" vertical="center"/>
    </xf>
    <xf numFmtId="3" fontId="41" fillId="0" borderId="0" xfId="1" applyNumberFormat="1" applyFont="1" applyAlignment="1">
      <alignment horizontal="right" vertical="center"/>
    </xf>
    <xf numFmtId="1" fontId="12" fillId="0" borderId="0" xfId="1" applyNumberFormat="1" applyFont="1" applyAlignment="1">
      <alignment horizontal="center" vertical="center"/>
    </xf>
    <xf numFmtId="3" fontId="9" fillId="0" borderId="0" xfId="1" applyNumberFormat="1" applyFont="1" applyAlignment="1">
      <alignment vertical="center"/>
    </xf>
    <xf numFmtId="0" fontId="9" fillId="0" borderId="0" xfId="1" applyFont="1"/>
    <xf numFmtId="0" fontId="9" fillId="0" borderId="0" xfId="10" applyFont="1"/>
    <xf numFmtId="0" fontId="24" fillId="0" borderId="41" xfId="1" applyFont="1" applyBorder="1" applyAlignment="1">
      <alignment horizontal="center" vertical="center"/>
    </xf>
    <xf numFmtId="0" fontId="24" fillId="0" borderId="48" xfId="1" applyFont="1" applyBorder="1" applyAlignment="1">
      <alignment horizontal="center" vertical="center"/>
    </xf>
    <xf numFmtId="0" fontId="24" fillId="0" borderId="45" xfId="1" applyFont="1" applyBorder="1" applyAlignment="1">
      <alignment horizontal="center" vertical="center"/>
    </xf>
    <xf numFmtId="1" fontId="9" fillId="0" borderId="0" xfId="1" applyNumberFormat="1" applyFont="1"/>
    <xf numFmtId="3" fontId="9" fillId="0" borderId="0" xfId="1" applyNumberFormat="1" applyFont="1"/>
    <xf numFmtId="3" fontId="45" fillId="8" borderId="67" xfId="12" applyNumberFormat="1" applyFont="1" applyFill="1" applyBorder="1" applyAlignment="1">
      <alignment horizontal="center" vertical="center" wrapText="1" readingOrder="2"/>
    </xf>
    <xf numFmtId="0" fontId="12" fillId="0" borderId="0" xfId="1" applyFont="1"/>
    <xf numFmtId="3" fontId="17" fillId="0" borderId="66" xfId="1" applyNumberFormat="1" applyFont="1" applyBorder="1" applyAlignment="1">
      <alignment horizontal="right" vertical="center"/>
    </xf>
    <xf numFmtId="0" fontId="43" fillId="0" borderId="20" xfId="1" applyFont="1" applyBorder="1" applyAlignment="1">
      <alignment horizontal="right" vertical="center" readingOrder="2"/>
    </xf>
    <xf numFmtId="0" fontId="43" fillId="0" borderId="0" xfId="1" applyFont="1" applyAlignment="1">
      <alignment vertical="center" readingOrder="2"/>
    </xf>
    <xf numFmtId="0" fontId="46" fillId="0" borderId="0" xfId="1" applyFont="1" applyAlignment="1">
      <alignment horizontal="right" readingOrder="2"/>
    </xf>
    <xf numFmtId="0" fontId="47" fillId="0" borderId="0" xfId="1" applyFont="1" applyAlignment="1">
      <alignment readingOrder="2"/>
    </xf>
    <xf numFmtId="0" fontId="12" fillId="0" borderId="69" xfId="1" applyFont="1" applyBorder="1" applyAlignment="1">
      <alignment vertical="center"/>
    </xf>
    <xf numFmtId="1" fontId="43" fillId="0" borderId="24" xfId="1" applyNumberFormat="1" applyFont="1" applyBorder="1" applyAlignment="1">
      <alignment horizontal="right" vertical="center" readingOrder="2"/>
    </xf>
    <xf numFmtId="1" fontId="43" fillId="0" borderId="25" xfId="1" applyNumberFormat="1" applyFont="1" applyBorder="1" applyAlignment="1">
      <alignment horizontal="right" vertical="center" readingOrder="2"/>
    </xf>
    <xf numFmtId="1" fontId="43" fillId="0" borderId="25" xfId="1" applyNumberFormat="1" applyFont="1" applyBorder="1" applyAlignment="1">
      <alignment horizontal="center" vertical="center"/>
    </xf>
    <xf numFmtId="170" fontId="9" fillId="0" borderId="0" xfId="1" applyNumberFormat="1" applyFont="1" applyAlignment="1">
      <alignment vertical="center"/>
    </xf>
    <xf numFmtId="3" fontId="17" fillId="0" borderId="57" xfId="1" applyNumberFormat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43" fillId="0" borderId="0" xfId="1" applyFont="1" applyAlignment="1">
      <alignment vertical="center"/>
    </xf>
    <xf numFmtId="0" fontId="21" fillId="0" borderId="0" xfId="1" applyFont="1"/>
    <xf numFmtId="3" fontId="53" fillId="0" borderId="0" xfId="8" applyNumberFormat="1" applyFont="1" applyAlignment="1">
      <alignment horizontal="center" vertical="center"/>
    </xf>
    <xf numFmtId="0" fontId="56" fillId="9" borderId="73" xfId="12" applyFont="1" applyFill="1" applyBorder="1" applyAlignment="1">
      <alignment horizontal="center"/>
    </xf>
    <xf numFmtId="0" fontId="57" fillId="9" borderId="74" xfId="12" applyFont="1" applyFill="1" applyBorder="1" applyAlignment="1">
      <alignment horizontal="center"/>
    </xf>
    <xf numFmtId="0" fontId="58" fillId="0" borderId="0" xfId="12" applyFont="1" applyAlignment="1">
      <alignment horizontal="center"/>
    </xf>
    <xf numFmtId="0" fontId="57" fillId="9" borderId="75" xfId="12" applyFont="1" applyFill="1" applyBorder="1" applyAlignment="1">
      <alignment horizontal="center"/>
    </xf>
    <xf numFmtId="0" fontId="57" fillId="10" borderId="25" xfId="12" applyFont="1" applyFill="1" applyBorder="1" applyAlignment="1">
      <alignment horizontal="center"/>
    </xf>
    <xf numFmtId="0" fontId="58" fillId="11" borderId="25" xfId="12" applyFont="1" applyFill="1" applyBorder="1" applyAlignment="1">
      <alignment horizontal="center"/>
    </xf>
    <xf numFmtId="0" fontId="58" fillId="0" borderId="25" xfId="12" applyFont="1" applyBorder="1" applyAlignment="1">
      <alignment horizontal="center"/>
    </xf>
    <xf numFmtId="0" fontId="59" fillId="12" borderId="25" xfId="12" applyFont="1" applyFill="1" applyBorder="1" applyAlignment="1">
      <alignment horizontal="center"/>
    </xf>
    <xf numFmtId="0" fontId="56" fillId="10" borderId="25" xfId="12" applyFont="1" applyFill="1" applyBorder="1" applyAlignment="1">
      <alignment horizontal="center"/>
    </xf>
    <xf numFmtId="0" fontId="59" fillId="0" borderId="25" xfId="12" applyFont="1" applyBorder="1" applyAlignment="1">
      <alignment horizontal="center"/>
    </xf>
    <xf numFmtId="0" fontId="24" fillId="0" borderId="56" xfId="1" applyFont="1" applyBorder="1" applyAlignment="1">
      <alignment horizontal="center" vertical="center"/>
    </xf>
    <xf numFmtId="0" fontId="24" fillId="0" borderId="23" xfId="1" applyFont="1" applyBorder="1" applyAlignment="1">
      <alignment horizontal="center" vertical="center"/>
    </xf>
    <xf numFmtId="3" fontId="48" fillId="0" borderId="22" xfId="15" applyNumberFormat="1" applyFont="1" applyBorder="1" applyAlignment="1">
      <alignment horizontal="right" vertical="center" indent="1"/>
    </xf>
    <xf numFmtId="10" fontId="48" fillId="0" borderId="9" xfId="1" applyNumberFormat="1" applyFont="1" applyBorder="1" applyAlignment="1">
      <alignment horizontal="right" vertical="center" indent="1"/>
    </xf>
    <xf numFmtId="0" fontId="24" fillId="0" borderId="26" xfId="1" applyFont="1" applyBorder="1" applyAlignment="1">
      <alignment horizontal="center" vertical="center"/>
    </xf>
    <xf numFmtId="3" fontId="48" fillId="0" borderId="25" xfId="15" applyNumberFormat="1" applyFont="1" applyBorder="1" applyAlignment="1">
      <alignment horizontal="right" vertical="center" indent="1"/>
    </xf>
    <xf numFmtId="10" fontId="48" fillId="0" borderId="12" xfId="1" applyNumberFormat="1" applyFont="1" applyBorder="1" applyAlignment="1">
      <alignment horizontal="right" vertical="center" indent="1"/>
    </xf>
    <xf numFmtId="0" fontId="24" fillId="0" borderId="32" xfId="1" applyFont="1" applyBorder="1" applyAlignment="1">
      <alignment horizontal="center" vertical="center"/>
    </xf>
    <xf numFmtId="3" fontId="48" fillId="0" borderId="55" xfId="1" applyNumberFormat="1" applyFont="1" applyBorder="1" applyAlignment="1">
      <alignment horizontal="right" vertical="center" indent="1"/>
    </xf>
    <xf numFmtId="10" fontId="48" fillId="0" borderId="76" xfId="1" applyNumberFormat="1" applyFont="1" applyBorder="1" applyAlignment="1">
      <alignment horizontal="right" vertical="center" indent="1"/>
    </xf>
    <xf numFmtId="0" fontId="24" fillId="0" borderId="38" xfId="1" applyFont="1" applyBorder="1" applyAlignment="1">
      <alignment horizontal="center" vertical="center"/>
    </xf>
    <xf numFmtId="0" fontId="24" fillId="0" borderId="40" xfId="1" applyFont="1" applyBorder="1" applyAlignment="1">
      <alignment horizontal="center" vertical="center"/>
    </xf>
    <xf numFmtId="3" fontId="48" fillId="0" borderId="56" xfId="1" applyNumberFormat="1" applyFont="1" applyBorder="1" applyAlignment="1">
      <alignment horizontal="right" vertical="center" indent="1"/>
    </xf>
    <xf numFmtId="1" fontId="48" fillId="0" borderId="41" xfId="1" applyNumberFormat="1" applyFont="1" applyBorder="1" applyAlignment="1">
      <alignment horizontal="right" vertical="center" indent="1"/>
    </xf>
    <xf numFmtId="10" fontId="48" fillId="0" borderId="45" xfId="1" applyNumberFormat="1" applyFont="1" applyBorder="1" applyAlignment="1">
      <alignment horizontal="right" vertical="center" indent="1"/>
    </xf>
    <xf numFmtId="3" fontId="24" fillId="0" borderId="0" xfId="15" applyNumberFormat="1" applyFont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0" borderId="30" xfId="8" applyFont="1" applyBorder="1" applyAlignment="1">
      <alignment horizontal="center" vertical="center"/>
    </xf>
    <xf numFmtId="0" fontId="12" fillId="0" borderId="31" xfId="8" applyFont="1" applyBorder="1" applyAlignment="1">
      <alignment horizontal="center" vertical="center"/>
    </xf>
    <xf numFmtId="0" fontId="12" fillId="0" borderId="32" xfId="8" applyFont="1" applyBorder="1" applyAlignment="1">
      <alignment horizontal="center" vertical="center"/>
    </xf>
    <xf numFmtId="0" fontId="43" fillId="0" borderId="46" xfId="8" applyFont="1" applyBorder="1" applyAlignment="1">
      <alignment horizontal="center" vertical="center"/>
    </xf>
    <xf numFmtId="3" fontId="26" fillId="0" borderId="21" xfId="2" applyNumberFormat="1" applyFont="1" applyBorder="1" applyAlignment="1">
      <alignment horizontal="right" vertical="center"/>
    </xf>
    <xf numFmtId="3" fontId="26" fillId="0" borderId="22" xfId="2" applyNumberFormat="1" applyFont="1" applyBorder="1" applyAlignment="1">
      <alignment horizontal="right" vertical="center"/>
    </xf>
    <xf numFmtId="3" fontId="26" fillId="0" borderId="23" xfId="8" applyNumberFormat="1" applyFont="1" applyBorder="1" applyAlignment="1">
      <alignment horizontal="right" vertical="center"/>
    </xf>
    <xf numFmtId="9" fontId="35" fillId="0" borderId="33" xfId="8" applyNumberFormat="1" applyFont="1" applyBorder="1" applyAlignment="1">
      <alignment horizontal="right" vertical="center"/>
    </xf>
    <xf numFmtId="3" fontId="9" fillId="0" borderId="0" xfId="8" applyNumberFormat="1" applyFont="1"/>
    <xf numFmtId="0" fontId="43" fillId="0" borderId="29" xfId="8" applyFont="1" applyBorder="1" applyAlignment="1">
      <alignment horizontal="center" vertical="center"/>
    </xf>
    <xf numFmtId="3" fontId="26" fillId="0" borderId="24" xfId="2" applyNumberFormat="1" applyFont="1" applyBorder="1" applyAlignment="1">
      <alignment horizontal="right" vertical="center"/>
    </xf>
    <xf numFmtId="3" fontId="26" fillId="0" borderId="25" xfId="2" applyNumberFormat="1" applyFont="1" applyBorder="1" applyAlignment="1">
      <alignment horizontal="right" vertical="center"/>
    </xf>
    <xf numFmtId="3" fontId="26" fillId="0" borderId="26" xfId="8" applyNumberFormat="1" applyFont="1" applyBorder="1" applyAlignment="1">
      <alignment horizontal="right" vertical="center"/>
    </xf>
    <xf numFmtId="9" fontId="35" fillId="0" borderId="12" xfId="8" applyNumberFormat="1" applyFont="1" applyBorder="1" applyAlignment="1">
      <alignment horizontal="right" vertical="center"/>
    </xf>
    <xf numFmtId="0" fontId="43" fillId="0" borderId="55" xfId="8" applyFont="1" applyBorder="1" applyAlignment="1">
      <alignment horizontal="center" vertical="center"/>
    </xf>
    <xf numFmtId="3" fontId="26" fillId="0" borderId="30" xfId="2" applyNumberFormat="1" applyFont="1" applyBorder="1" applyAlignment="1">
      <alignment horizontal="right" vertical="center"/>
    </xf>
    <xf numFmtId="3" fontId="26" fillId="0" borderId="31" xfId="2" applyNumberFormat="1" applyFont="1" applyBorder="1" applyAlignment="1">
      <alignment horizontal="right" vertical="center"/>
    </xf>
    <xf numFmtId="3" fontId="26" fillId="0" borderId="32" xfId="8" applyNumberFormat="1" applyFont="1" applyBorder="1" applyAlignment="1">
      <alignment horizontal="right" vertical="center"/>
    </xf>
    <xf numFmtId="9" fontId="35" fillId="0" borderId="18" xfId="8" applyNumberFormat="1" applyFont="1" applyBorder="1" applyAlignment="1">
      <alignment horizontal="right" vertical="center"/>
    </xf>
    <xf numFmtId="3" fontId="26" fillId="0" borderId="21" xfId="8" applyNumberFormat="1" applyFont="1" applyBorder="1" applyAlignment="1">
      <alignment horizontal="right" vertical="center"/>
    </xf>
    <xf numFmtId="3" fontId="26" fillId="0" borderId="22" xfId="8" applyNumberFormat="1" applyFont="1" applyBorder="1" applyAlignment="1">
      <alignment horizontal="right" vertical="center"/>
    </xf>
    <xf numFmtId="3" fontId="26" fillId="0" borderId="24" xfId="8" applyNumberFormat="1" applyFont="1" applyBorder="1" applyAlignment="1">
      <alignment horizontal="right" vertical="center"/>
    </xf>
    <xf numFmtId="3" fontId="26" fillId="0" borderId="25" xfId="8" applyNumberFormat="1" applyFont="1" applyBorder="1" applyAlignment="1">
      <alignment horizontal="right" vertical="center"/>
    </xf>
    <xf numFmtId="3" fontId="26" fillId="0" borderId="30" xfId="8" applyNumberFormat="1" applyFont="1" applyBorder="1" applyAlignment="1">
      <alignment horizontal="right" vertical="center"/>
    </xf>
    <xf numFmtId="3" fontId="26" fillId="0" borderId="31" xfId="8" applyNumberFormat="1" applyFont="1" applyBorder="1" applyAlignment="1">
      <alignment horizontal="right" vertical="center"/>
    </xf>
    <xf numFmtId="9" fontId="26" fillId="0" borderId="9" xfId="8" applyNumberFormat="1" applyFont="1" applyBorder="1" applyAlignment="1">
      <alignment horizontal="right" vertical="center"/>
    </xf>
    <xf numFmtId="9" fontId="26" fillId="0" borderId="12" xfId="8" applyNumberFormat="1" applyFont="1" applyBorder="1" applyAlignment="1">
      <alignment horizontal="right" vertical="center"/>
    </xf>
    <xf numFmtId="9" fontId="26" fillId="0" borderId="15" xfId="8" applyNumberFormat="1" applyFont="1" applyBorder="1" applyAlignment="1">
      <alignment horizontal="right" vertical="center"/>
    </xf>
    <xf numFmtId="0" fontId="43" fillId="0" borderId="50" xfId="8" applyFont="1" applyBorder="1" applyAlignment="1">
      <alignment horizontal="center" vertical="center"/>
    </xf>
    <xf numFmtId="3" fontId="26" fillId="0" borderId="37" xfId="8" applyNumberFormat="1" applyFont="1" applyBorder="1" applyAlignment="1">
      <alignment horizontal="right" vertical="center"/>
    </xf>
    <xf numFmtId="3" fontId="26" fillId="0" borderId="49" xfId="8" applyNumberFormat="1" applyFont="1" applyBorder="1" applyAlignment="1">
      <alignment horizontal="right" vertical="center"/>
    </xf>
    <xf numFmtId="3" fontId="26" fillId="0" borderId="38" xfId="8" applyNumberFormat="1" applyFont="1" applyBorder="1" applyAlignment="1">
      <alignment horizontal="right" vertical="center"/>
    </xf>
    <xf numFmtId="0" fontId="43" fillId="0" borderId="56" xfId="8" applyFont="1" applyBorder="1" applyAlignment="1">
      <alignment horizontal="center" vertical="center"/>
    </xf>
    <xf numFmtId="3" fontId="26" fillId="0" borderId="39" xfId="8" applyNumberFormat="1" applyFont="1" applyBorder="1" applyAlignment="1">
      <alignment horizontal="right" vertical="center"/>
    </xf>
    <xf numFmtId="3" fontId="26" fillId="0" borderId="28" xfId="8" applyNumberFormat="1" applyFont="1" applyBorder="1" applyAlignment="1">
      <alignment horizontal="right" vertical="center"/>
    </xf>
    <xf numFmtId="3" fontId="26" fillId="0" borderId="40" xfId="8" applyNumberFormat="1" applyFont="1" applyBorder="1" applyAlignment="1">
      <alignment horizontal="right" vertical="center"/>
    </xf>
    <xf numFmtId="9" fontId="26" fillId="0" borderId="33" xfId="8" applyNumberFormat="1" applyFont="1" applyBorder="1" applyAlignment="1">
      <alignment horizontal="right" vertical="center"/>
    </xf>
    <xf numFmtId="9" fontId="26" fillId="0" borderId="18" xfId="8" applyNumberFormat="1" applyFont="1" applyBorder="1" applyAlignment="1">
      <alignment horizontal="right" vertical="center"/>
    </xf>
    <xf numFmtId="3" fontId="26" fillId="0" borderId="60" xfId="8" applyNumberFormat="1" applyFont="1" applyBorder="1" applyAlignment="1">
      <alignment horizontal="right" vertical="center"/>
    </xf>
    <xf numFmtId="3" fontId="26" fillId="0" borderId="61" xfId="8" applyNumberFormat="1" applyFont="1" applyBorder="1" applyAlignment="1">
      <alignment horizontal="right" vertical="center"/>
    </xf>
    <xf numFmtId="3" fontId="26" fillId="0" borderId="47" xfId="8" applyNumberFormat="1" applyFont="1" applyBorder="1" applyAlignment="1">
      <alignment horizontal="right" vertical="center"/>
    </xf>
    <xf numFmtId="3" fontId="26" fillId="0" borderId="77" xfId="8" applyNumberFormat="1" applyFont="1" applyBorder="1" applyAlignment="1">
      <alignment horizontal="right" vertical="center"/>
    </xf>
    <xf numFmtId="3" fontId="26" fillId="0" borderId="78" xfId="8" applyNumberFormat="1" applyFont="1" applyBorder="1" applyAlignment="1">
      <alignment horizontal="right" vertical="center"/>
    </xf>
    <xf numFmtId="3" fontId="26" fillId="0" borderId="69" xfId="8" applyNumberFormat="1" applyFont="1" applyBorder="1" applyAlignment="1">
      <alignment horizontal="right" vertical="center"/>
    </xf>
    <xf numFmtId="3" fontId="26" fillId="0" borderId="14" xfId="8" applyNumberFormat="1" applyFont="1" applyBorder="1" applyAlignment="1">
      <alignment horizontal="right" vertical="center"/>
    </xf>
    <xf numFmtId="3" fontId="26" fillId="0" borderId="57" xfId="8" applyNumberFormat="1" applyFont="1" applyBorder="1" applyAlignment="1">
      <alignment horizontal="right" vertical="center"/>
    </xf>
    <xf numFmtId="3" fontId="26" fillId="0" borderId="8" xfId="8" applyNumberFormat="1" applyFont="1" applyBorder="1"/>
    <xf numFmtId="3" fontId="26" fillId="0" borderId="22" xfId="8" applyNumberFormat="1" applyFont="1" applyBorder="1"/>
    <xf numFmtId="3" fontId="26" fillId="0" borderId="71" xfId="8" applyNumberFormat="1" applyFont="1" applyBorder="1"/>
    <xf numFmtId="9" fontId="26" fillId="0" borderId="76" xfId="8" applyNumberFormat="1" applyFont="1" applyBorder="1"/>
    <xf numFmtId="3" fontId="26" fillId="0" borderId="65" xfId="8" applyNumberFormat="1" applyFont="1" applyBorder="1"/>
    <xf numFmtId="3" fontId="26" fillId="0" borderId="49" xfId="8" applyNumberFormat="1" applyFont="1" applyBorder="1"/>
    <xf numFmtId="3" fontId="26" fillId="0" borderId="72" xfId="8" applyNumberFormat="1" applyFont="1" applyBorder="1"/>
    <xf numFmtId="9" fontId="26" fillId="0" borderId="12" xfId="8" applyNumberFormat="1" applyFont="1" applyBorder="1"/>
    <xf numFmtId="3" fontId="26" fillId="0" borderId="14" xfId="8" applyNumberFormat="1" applyFont="1" applyBorder="1"/>
    <xf numFmtId="3" fontId="26" fillId="0" borderId="31" xfId="8" applyNumberFormat="1" applyFont="1" applyBorder="1"/>
    <xf numFmtId="3" fontId="26" fillId="0" borderId="16" xfId="8" applyNumberFormat="1" applyFont="1" applyBorder="1"/>
    <xf numFmtId="9" fontId="26" fillId="0" borderId="15" xfId="8" applyNumberFormat="1" applyFont="1" applyBorder="1"/>
    <xf numFmtId="1" fontId="26" fillId="0" borderId="17" xfId="8" applyNumberFormat="1" applyFont="1" applyBorder="1"/>
    <xf numFmtId="1" fontId="26" fillId="0" borderId="59" xfId="8" applyNumberFormat="1" applyFont="1" applyBorder="1"/>
    <xf numFmtId="1" fontId="26" fillId="0" borderId="58" xfId="8" applyNumberFormat="1" applyFont="1" applyBorder="1"/>
    <xf numFmtId="9" fontId="26" fillId="0" borderId="18" xfId="8" applyNumberFormat="1" applyFont="1" applyBorder="1"/>
    <xf numFmtId="0" fontId="43" fillId="0" borderId="0" xfId="8" applyFont="1" applyAlignment="1">
      <alignment horizontal="center" vertical="center"/>
    </xf>
    <xf numFmtId="1" fontId="26" fillId="0" borderId="0" xfId="8" applyNumberFormat="1" applyFont="1"/>
    <xf numFmtId="3" fontId="26" fillId="0" borderId="0" xfId="8" applyNumberFormat="1" applyFont="1"/>
    <xf numFmtId="0" fontId="43" fillId="0" borderId="23" xfId="8" applyFont="1" applyBorder="1" applyAlignment="1">
      <alignment horizontal="center" vertical="center"/>
    </xf>
    <xf numFmtId="9" fontId="26" fillId="0" borderId="9" xfId="8" applyNumberFormat="1" applyFont="1" applyBorder="1"/>
    <xf numFmtId="0" fontId="43" fillId="0" borderId="26" xfId="8" applyFont="1" applyBorder="1" applyAlignment="1">
      <alignment horizontal="center" vertical="center"/>
    </xf>
    <xf numFmtId="0" fontId="43" fillId="0" borderId="40" xfId="8" applyFont="1" applyBorder="1" applyAlignment="1">
      <alignment horizontal="center" vertical="center"/>
    </xf>
    <xf numFmtId="3" fontId="26" fillId="0" borderId="39" xfId="2" applyNumberFormat="1" applyFont="1" applyBorder="1" applyAlignment="1">
      <alignment horizontal="right" vertical="center"/>
    </xf>
    <xf numFmtId="3" fontId="26" fillId="0" borderId="28" xfId="2" applyNumberFormat="1" applyFont="1" applyBorder="1" applyAlignment="1">
      <alignment horizontal="right" vertical="center"/>
    </xf>
    <xf numFmtId="9" fontId="26" fillId="0" borderId="33" xfId="8" applyNumberFormat="1" applyFont="1" applyBorder="1"/>
    <xf numFmtId="1" fontId="26" fillId="0" borderId="35" xfId="8" applyNumberFormat="1" applyFont="1" applyBorder="1"/>
    <xf numFmtId="1" fontId="26" fillId="0" borderId="48" xfId="8" applyNumberFormat="1" applyFont="1" applyBorder="1"/>
    <xf numFmtId="1" fontId="26" fillId="0" borderId="36" xfId="8" applyNumberFormat="1" applyFont="1" applyBorder="1"/>
    <xf numFmtId="9" fontId="26" fillId="0" borderId="45" xfId="8" applyNumberFormat="1" applyFont="1" applyBorder="1"/>
    <xf numFmtId="0" fontId="26" fillId="0" borderId="0" xfId="8" applyFont="1"/>
    <xf numFmtId="10" fontId="26" fillId="0" borderId="0" xfId="8" applyNumberFormat="1" applyFont="1" applyAlignment="1">
      <alignment horizontal="right" indent="1"/>
    </xf>
    <xf numFmtId="3" fontId="26" fillId="0" borderId="21" xfId="8" applyNumberFormat="1" applyFont="1" applyBorder="1" applyAlignment="1">
      <alignment horizontal="right"/>
    </xf>
    <xf numFmtId="3" fontId="26" fillId="0" borderId="22" xfId="8" applyNumberFormat="1" applyFont="1" applyBorder="1" applyAlignment="1">
      <alignment horizontal="right"/>
    </xf>
    <xf numFmtId="3" fontId="26" fillId="0" borderId="24" xfId="8" applyNumberFormat="1" applyFont="1" applyBorder="1" applyAlignment="1">
      <alignment horizontal="right"/>
    </xf>
    <xf numFmtId="3" fontId="26" fillId="0" borderId="25" xfId="8" applyNumberFormat="1" applyFont="1" applyBorder="1" applyAlignment="1">
      <alignment horizontal="right"/>
    </xf>
    <xf numFmtId="3" fontId="26" fillId="0" borderId="30" xfId="8" applyNumberFormat="1" applyFont="1" applyBorder="1" applyAlignment="1">
      <alignment horizontal="right"/>
    </xf>
    <xf numFmtId="3" fontId="26" fillId="0" borderId="31" xfId="8" applyNumberFormat="1" applyFont="1" applyBorder="1" applyAlignment="1">
      <alignment horizontal="right"/>
    </xf>
    <xf numFmtId="1" fontId="26" fillId="0" borderId="42" xfId="8" applyNumberFormat="1" applyFont="1" applyBorder="1" applyAlignment="1">
      <alignment horizontal="right"/>
    </xf>
    <xf numFmtId="1" fontId="26" fillId="0" borderId="41" xfId="8" applyNumberFormat="1" applyFont="1" applyBorder="1" applyAlignment="1">
      <alignment horizontal="right"/>
    </xf>
    <xf numFmtId="1" fontId="26" fillId="0" borderId="36" xfId="8" applyNumberFormat="1" applyFont="1" applyBorder="1" applyAlignment="1">
      <alignment horizontal="right"/>
    </xf>
    <xf numFmtId="3" fontId="61" fillId="0" borderId="0" xfId="8" applyNumberFormat="1" applyFont="1"/>
    <xf numFmtId="165" fontId="9" fillId="0" borderId="0" xfId="8" applyNumberFormat="1" applyFont="1"/>
    <xf numFmtId="1" fontId="9" fillId="0" borderId="0" xfId="8" applyNumberFormat="1" applyFont="1"/>
    <xf numFmtId="0" fontId="12" fillId="0" borderId="45" xfId="1" applyFont="1" applyBorder="1" applyAlignment="1">
      <alignment horizontal="center" vertical="center"/>
    </xf>
    <xf numFmtId="0" fontId="12" fillId="0" borderId="43" xfId="1" applyFont="1" applyBorder="1" applyAlignment="1">
      <alignment horizontal="center" vertical="center" textRotation="90"/>
    </xf>
    <xf numFmtId="0" fontId="12" fillId="0" borderId="48" xfId="1" applyFont="1" applyBorder="1" applyAlignment="1">
      <alignment horizontal="center" vertical="center" textRotation="90"/>
    </xf>
    <xf numFmtId="0" fontId="12" fillId="0" borderId="41" xfId="1" applyFont="1" applyBorder="1" applyAlignment="1">
      <alignment horizontal="center" vertical="center" textRotation="90"/>
    </xf>
    <xf numFmtId="0" fontId="12" fillId="0" borderId="12" xfId="1" applyFont="1" applyBorder="1" applyAlignment="1">
      <alignment horizontal="center" vertical="center"/>
    </xf>
    <xf numFmtId="1" fontId="32" fillId="0" borderId="27" xfId="1" applyNumberFormat="1" applyFont="1" applyBorder="1" applyAlignment="1">
      <alignment horizontal="center" vertical="center"/>
    </xf>
    <xf numFmtId="1" fontId="32" fillId="0" borderId="25" xfId="1" applyNumberFormat="1" applyFont="1" applyBorder="1" applyAlignment="1">
      <alignment horizontal="center" vertical="center"/>
    </xf>
    <xf numFmtId="0" fontId="32" fillId="0" borderId="29" xfId="1" applyFont="1" applyBorder="1" applyAlignment="1">
      <alignment horizontal="center" vertical="center"/>
    </xf>
    <xf numFmtId="1" fontId="32" fillId="0" borderId="76" xfId="1" applyNumberFormat="1" applyFont="1" applyBorder="1" applyAlignment="1">
      <alignment horizontal="center" vertical="center"/>
    </xf>
    <xf numFmtId="1" fontId="32" fillId="0" borderId="29" xfId="1" applyNumberFormat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1" fontId="32" fillId="0" borderId="79" xfId="1" applyNumberFormat="1" applyFont="1" applyBorder="1" applyAlignment="1">
      <alignment horizontal="center" vertical="center"/>
    </xf>
    <xf numFmtId="1" fontId="32" fillId="0" borderId="78" xfId="1" applyNumberFormat="1" applyFont="1" applyBorder="1" applyAlignment="1">
      <alignment horizontal="center" vertical="center"/>
    </xf>
    <xf numFmtId="1" fontId="32" fillId="0" borderId="63" xfId="1" applyNumberFormat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1" fontId="32" fillId="0" borderId="53" xfId="1" applyNumberFormat="1" applyFont="1" applyBorder="1" applyAlignment="1">
      <alignment horizontal="center" vertical="center"/>
    </xf>
    <xf numFmtId="1" fontId="32" fillId="0" borderId="28" xfId="1" applyNumberFormat="1" applyFont="1" applyBorder="1" applyAlignment="1">
      <alignment horizontal="center" vertical="center"/>
    </xf>
    <xf numFmtId="1" fontId="32" fillId="0" borderId="56" xfId="1" applyNumberFormat="1" applyFont="1" applyBorder="1" applyAlignment="1">
      <alignment horizontal="center" vertical="center"/>
    </xf>
    <xf numFmtId="1" fontId="12" fillId="0" borderId="12" xfId="1" applyNumberFormat="1" applyFont="1" applyBorder="1" applyAlignment="1">
      <alignment horizontal="center" vertical="center"/>
    </xf>
    <xf numFmtId="1" fontId="32" fillId="0" borderId="26" xfId="1" applyNumberFormat="1" applyFont="1" applyBorder="1" applyAlignment="1">
      <alignment horizontal="center" vertical="center"/>
    </xf>
    <xf numFmtId="1" fontId="32" fillId="0" borderId="6" xfId="1" applyNumberFormat="1" applyFont="1" applyBorder="1" applyAlignment="1">
      <alignment horizontal="center" vertical="center"/>
    </xf>
    <xf numFmtId="1" fontId="32" fillId="0" borderId="33" xfId="1" applyNumberFormat="1" applyFont="1" applyBorder="1" applyAlignment="1">
      <alignment horizontal="center" vertical="center"/>
    </xf>
    <xf numFmtId="1" fontId="32" fillId="0" borderId="12" xfId="1" applyNumberFormat="1" applyFont="1" applyBorder="1" applyAlignment="1">
      <alignment horizontal="center" vertical="center"/>
    </xf>
    <xf numFmtId="172" fontId="9" fillId="0" borderId="0" xfId="1" applyNumberFormat="1" applyFont="1"/>
    <xf numFmtId="0" fontId="28" fillId="0" borderId="80" xfId="12" applyFont="1" applyBorder="1"/>
    <xf numFmtId="0" fontId="61" fillId="0" borderId="0" xfId="1" applyFont="1"/>
    <xf numFmtId="1" fontId="12" fillId="0" borderId="18" xfId="1" applyNumberFormat="1" applyFont="1" applyBorder="1" applyAlignment="1">
      <alignment horizontal="center" vertical="center"/>
    </xf>
    <xf numFmtId="1" fontId="32" fillId="0" borderId="54" xfId="1" applyNumberFormat="1" applyFont="1" applyBorder="1" applyAlignment="1">
      <alignment horizontal="center" vertical="center"/>
    </xf>
    <xf numFmtId="1" fontId="32" fillId="0" borderId="58" xfId="1" applyNumberFormat="1" applyFont="1" applyBorder="1" applyAlignment="1">
      <alignment horizontal="center" vertical="center"/>
    </xf>
    <xf numFmtId="1" fontId="32" fillId="0" borderId="59" xfId="1" applyNumberFormat="1" applyFont="1" applyBorder="1" applyAlignment="1">
      <alignment horizontal="center" vertical="center"/>
    </xf>
    <xf numFmtId="1" fontId="32" fillId="0" borderId="18" xfId="1" applyNumberFormat="1" applyFont="1" applyBorder="1" applyAlignment="1">
      <alignment horizontal="center" vertical="center"/>
    </xf>
    <xf numFmtId="0" fontId="29" fillId="0" borderId="0" xfId="12" applyFont="1"/>
    <xf numFmtId="1" fontId="61" fillId="0" borderId="0" xfId="1" applyNumberFormat="1" applyFont="1"/>
    <xf numFmtId="2" fontId="32" fillId="0" borderId="0" xfId="1" applyNumberFormat="1" applyFont="1" applyAlignment="1">
      <alignment horizontal="center" vertical="center"/>
    </xf>
    <xf numFmtId="170" fontId="32" fillId="0" borderId="0" xfId="1" applyNumberFormat="1" applyFont="1" applyAlignment="1">
      <alignment horizontal="center" vertical="center"/>
    </xf>
    <xf numFmtId="0" fontId="6" fillId="0" borderId="0" xfId="12"/>
    <xf numFmtId="1" fontId="32" fillId="0" borderId="27" xfId="16" applyNumberFormat="1" applyFont="1" applyBorder="1" applyAlignment="1">
      <alignment horizontal="center" vertical="center"/>
    </xf>
    <xf numFmtId="1" fontId="32" fillId="0" borderId="25" xfId="16" applyNumberFormat="1" applyFont="1" applyBorder="1" applyAlignment="1">
      <alignment horizontal="center" vertical="center"/>
    </xf>
    <xf numFmtId="1" fontId="32" fillId="0" borderId="29" xfId="16" applyNumberFormat="1" applyFont="1" applyBorder="1" applyAlignment="1">
      <alignment horizontal="center" vertical="center"/>
    </xf>
    <xf numFmtId="1" fontId="32" fillId="0" borderId="26" xfId="16" applyNumberFormat="1" applyFont="1" applyBorder="1" applyAlignment="1">
      <alignment horizontal="center" vertical="center"/>
    </xf>
    <xf numFmtId="0" fontId="12" fillId="0" borderId="76" xfId="1" applyFont="1" applyBorder="1" applyAlignment="1">
      <alignment horizontal="center" vertical="center"/>
    </xf>
    <xf numFmtId="1" fontId="32" fillId="0" borderId="72" xfId="16" applyNumberFormat="1" applyFont="1" applyBorder="1" applyAlignment="1">
      <alignment horizontal="center" vertical="center"/>
    </xf>
    <xf numFmtId="1" fontId="32" fillId="0" borderId="49" xfId="16" applyNumberFormat="1" applyFont="1" applyBorder="1" applyAlignment="1">
      <alignment horizontal="center" vertical="center"/>
    </xf>
    <xf numFmtId="1" fontId="32" fillId="0" borderId="50" xfId="16" applyNumberFormat="1" applyFont="1" applyBorder="1" applyAlignment="1">
      <alignment horizontal="center" vertical="center"/>
    </xf>
    <xf numFmtId="1" fontId="32" fillId="0" borderId="38" xfId="16" applyNumberFormat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1" fontId="32" fillId="0" borderId="54" xfId="16" applyNumberFormat="1" applyFont="1" applyBorder="1" applyAlignment="1">
      <alignment horizontal="center" vertical="center"/>
    </xf>
    <xf numFmtId="1" fontId="32" fillId="0" borderId="58" xfId="16" applyNumberFormat="1" applyFont="1" applyBorder="1" applyAlignment="1">
      <alignment horizontal="center" vertical="center"/>
    </xf>
    <xf numFmtId="1" fontId="32" fillId="0" borderId="59" xfId="16" applyNumberFormat="1" applyFont="1" applyBorder="1" applyAlignment="1">
      <alignment horizontal="center" vertical="center"/>
    </xf>
    <xf numFmtId="1" fontId="32" fillId="0" borderId="15" xfId="1" applyNumberFormat="1" applyFont="1" applyBorder="1" applyAlignment="1">
      <alignment horizontal="center" vertical="center"/>
    </xf>
    <xf numFmtId="0" fontId="65" fillId="0" borderId="0" xfId="8" applyFont="1"/>
    <xf numFmtId="0" fontId="12" fillId="0" borderId="55" xfId="8" applyFont="1" applyBorder="1" applyAlignment="1">
      <alignment horizontal="center" vertical="center"/>
    </xf>
    <xf numFmtId="0" fontId="12" fillId="0" borderId="9" xfId="8" applyFont="1" applyBorder="1" applyAlignment="1">
      <alignment horizontal="center" vertical="center"/>
    </xf>
    <xf numFmtId="1" fontId="17" fillId="0" borderId="46" xfId="8" applyNumberFormat="1" applyFont="1" applyBorder="1" applyAlignment="1">
      <alignment horizontal="right" vertical="center" indent="3"/>
    </xf>
    <xf numFmtId="1" fontId="17" fillId="0" borderId="21" xfId="8" applyNumberFormat="1" applyFont="1" applyBorder="1" applyAlignment="1">
      <alignment horizontal="right" vertical="center" indent="3"/>
    </xf>
    <xf numFmtId="9" fontId="17" fillId="0" borderId="23" xfId="8" applyNumberFormat="1" applyFont="1" applyBorder="1" applyAlignment="1">
      <alignment horizontal="right" vertical="center" indent="2"/>
    </xf>
    <xf numFmtId="0" fontId="17" fillId="0" borderId="46" xfId="8" applyFont="1" applyBorder="1" applyAlignment="1">
      <alignment horizontal="right" vertical="center" indent="3"/>
    </xf>
    <xf numFmtId="3" fontId="17" fillId="0" borderId="23" xfId="8" applyNumberFormat="1" applyFont="1" applyBorder="1" applyAlignment="1">
      <alignment horizontal="right" vertical="center" indent="2"/>
    </xf>
    <xf numFmtId="1" fontId="17" fillId="0" borderId="21" xfId="8" applyNumberFormat="1" applyFont="1" applyBorder="1" applyAlignment="1">
      <alignment horizontal="right" vertical="center" indent="2"/>
    </xf>
    <xf numFmtId="3" fontId="17" fillId="0" borderId="46" xfId="8" applyNumberFormat="1" applyFont="1" applyBorder="1" applyAlignment="1">
      <alignment horizontal="right" vertical="center" indent="3"/>
    </xf>
    <xf numFmtId="3" fontId="17" fillId="0" borderId="37" xfId="8" applyNumberFormat="1" applyFont="1" applyBorder="1" applyAlignment="1">
      <alignment horizontal="right" vertical="center" indent="3"/>
    </xf>
    <xf numFmtId="9" fontId="17" fillId="0" borderId="38" xfId="8" applyNumberFormat="1" applyFont="1" applyBorder="1" applyAlignment="1">
      <alignment horizontal="right" vertical="center" indent="2"/>
    </xf>
    <xf numFmtId="1" fontId="17" fillId="0" borderId="60" xfId="8" applyNumberFormat="1" applyFont="1" applyBorder="1" applyAlignment="1">
      <alignment horizontal="right" vertical="center" indent="2"/>
    </xf>
    <xf numFmtId="3" fontId="17" fillId="0" borderId="46" xfId="17" applyNumberFormat="1" applyFont="1" applyFill="1" applyBorder="1" applyAlignment="1">
      <alignment horizontal="right" vertical="center" indent="1"/>
    </xf>
    <xf numFmtId="1" fontId="17" fillId="0" borderId="77" xfId="8" applyNumberFormat="1" applyFont="1" applyBorder="1" applyAlignment="1">
      <alignment horizontal="right" vertical="center" indent="1"/>
    </xf>
    <xf numFmtId="0" fontId="12" fillId="0" borderId="76" xfId="8" applyFont="1" applyBorder="1" applyAlignment="1">
      <alignment horizontal="center" vertical="center"/>
    </xf>
    <xf numFmtId="1" fontId="17" fillId="0" borderId="50" xfId="8" applyNumberFormat="1" applyFont="1" applyBorder="1" applyAlignment="1">
      <alignment horizontal="right" vertical="center" indent="3"/>
    </xf>
    <xf numFmtId="1" fontId="17" fillId="0" borderId="24" xfId="8" applyNumberFormat="1" applyFont="1" applyBorder="1" applyAlignment="1">
      <alignment horizontal="right" vertical="center" indent="3"/>
    </xf>
    <xf numFmtId="9" fontId="17" fillId="0" borderId="26" xfId="8" applyNumberFormat="1" applyFont="1" applyBorder="1" applyAlignment="1">
      <alignment horizontal="right" vertical="center" indent="2"/>
    </xf>
    <xf numFmtId="0" fontId="17" fillId="0" borderId="50" xfId="8" applyFont="1" applyBorder="1" applyAlignment="1">
      <alignment horizontal="right" vertical="center" indent="3"/>
    </xf>
    <xf numFmtId="3" fontId="17" fillId="0" borderId="38" xfId="8" applyNumberFormat="1" applyFont="1" applyBorder="1" applyAlignment="1">
      <alignment horizontal="right" vertical="center" indent="2"/>
    </xf>
    <xf numFmtId="1" fontId="17" fillId="0" borderId="24" xfId="8" applyNumberFormat="1" applyFont="1" applyBorder="1" applyAlignment="1">
      <alignment horizontal="right" vertical="center" indent="2"/>
    </xf>
    <xf numFmtId="3" fontId="17" fillId="0" borderId="50" xfId="8" applyNumberFormat="1" applyFont="1" applyBorder="1" applyAlignment="1">
      <alignment horizontal="right" vertical="center" indent="3"/>
    </xf>
    <xf numFmtId="3" fontId="17" fillId="0" borderId="24" xfId="8" applyNumberFormat="1" applyFont="1" applyBorder="1" applyAlignment="1">
      <alignment horizontal="right" vertical="center" indent="3"/>
    </xf>
    <xf numFmtId="3" fontId="17" fillId="0" borderId="50" xfId="17" applyNumberFormat="1" applyFont="1" applyFill="1" applyBorder="1" applyAlignment="1">
      <alignment horizontal="right" vertical="center" indent="1"/>
    </xf>
    <xf numFmtId="1" fontId="17" fillId="0" borderId="24" xfId="8" applyNumberFormat="1" applyFont="1" applyBorder="1" applyAlignment="1">
      <alignment horizontal="right" vertical="center" indent="1"/>
    </xf>
    <xf numFmtId="0" fontId="12" fillId="0" borderId="12" xfId="8" applyFont="1" applyBorder="1" applyAlignment="1">
      <alignment horizontal="center" vertical="center"/>
    </xf>
    <xf numFmtId="1" fontId="17" fillId="0" borderId="29" xfId="8" applyNumberFormat="1" applyFont="1" applyBorder="1" applyAlignment="1">
      <alignment horizontal="right" vertical="center" indent="3"/>
    </xf>
    <xf numFmtId="0" fontId="26" fillId="0" borderId="50" xfId="8" applyFont="1" applyBorder="1" applyAlignment="1">
      <alignment horizontal="right" vertical="center" indent="3"/>
    </xf>
    <xf numFmtId="3" fontId="17" fillId="0" borderId="26" xfId="8" applyNumberFormat="1" applyFont="1" applyBorder="1" applyAlignment="1">
      <alignment horizontal="right" vertical="center" indent="2"/>
    </xf>
    <xf numFmtId="3" fontId="26" fillId="0" borderId="50" xfId="17" applyNumberFormat="1" applyFont="1" applyFill="1" applyBorder="1" applyAlignment="1">
      <alignment horizontal="right" vertical="center" indent="1"/>
    </xf>
    <xf numFmtId="0" fontId="26" fillId="0" borderId="29" xfId="8" applyFont="1" applyBorder="1" applyAlignment="1">
      <alignment horizontal="right" vertical="center" indent="3"/>
    </xf>
    <xf numFmtId="3" fontId="17" fillId="2" borderId="29" xfId="8" applyNumberFormat="1" applyFont="1" applyFill="1" applyBorder="1" applyAlignment="1">
      <alignment horizontal="right" vertical="center" indent="3"/>
    </xf>
    <xf numFmtId="3" fontId="26" fillId="0" borderId="29" xfId="17" applyNumberFormat="1" applyFont="1" applyFill="1" applyBorder="1" applyAlignment="1">
      <alignment horizontal="right" vertical="center" indent="1"/>
    </xf>
    <xf numFmtId="3" fontId="17" fillId="0" borderId="29" xfId="8" applyNumberFormat="1" applyFont="1" applyBorder="1" applyAlignment="1">
      <alignment horizontal="right" vertical="center" indent="3"/>
    </xf>
    <xf numFmtId="3" fontId="17" fillId="2" borderId="26" xfId="8" applyNumberFormat="1" applyFont="1" applyFill="1" applyBorder="1" applyAlignment="1">
      <alignment horizontal="right" vertical="center" indent="2"/>
    </xf>
    <xf numFmtId="0" fontId="12" fillId="0" borderId="33" xfId="8" applyFont="1" applyBorder="1" applyAlignment="1">
      <alignment horizontal="center" vertical="center"/>
    </xf>
    <xf numFmtId="3" fontId="17" fillId="0" borderId="40" xfId="8" applyNumberFormat="1" applyFont="1" applyBorder="1" applyAlignment="1">
      <alignment horizontal="right" vertical="center" indent="2"/>
    </xf>
    <xf numFmtId="1" fontId="17" fillId="0" borderId="39" xfId="8" applyNumberFormat="1" applyFont="1" applyBorder="1" applyAlignment="1">
      <alignment horizontal="right" vertical="center" indent="2"/>
    </xf>
    <xf numFmtId="1" fontId="17" fillId="0" borderId="26" xfId="8" applyNumberFormat="1" applyFont="1" applyBorder="1" applyAlignment="1">
      <alignment horizontal="right" vertical="center" indent="3"/>
    </xf>
    <xf numFmtId="9" fontId="9" fillId="0" borderId="26" xfId="8" applyNumberFormat="1" applyFont="1" applyBorder="1" applyAlignment="1">
      <alignment horizontal="right" vertical="center" indent="2"/>
    </xf>
    <xf numFmtId="0" fontId="12" fillId="0" borderId="6" xfId="8" applyFont="1" applyBorder="1" applyAlignment="1">
      <alignment horizontal="center" vertical="center"/>
    </xf>
    <xf numFmtId="1" fontId="17" fillId="0" borderId="40" xfId="8" applyNumberFormat="1" applyFont="1" applyBorder="1" applyAlignment="1">
      <alignment horizontal="right" vertical="center" indent="3"/>
    </xf>
    <xf numFmtId="1" fontId="17" fillId="0" borderId="39" xfId="8" applyNumberFormat="1" applyFont="1" applyBorder="1" applyAlignment="1">
      <alignment horizontal="right" vertical="center" indent="3"/>
    </xf>
    <xf numFmtId="9" fontId="17" fillId="0" borderId="40" xfId="8" applyNumberFormat="1" applyFont="1" applyBorder="1" applyAlignment="1">
      <alignment horizontal="right" vertical="center" indent="2"/>
    </xf>
    <xf numFmtId="0" fontId="26" fillId="0" borderId="26" xfId="8" applyFont="1" applyBorder="1" applyAlignment="1">
      <alignment horizontal="right" vertical="center" indent="3"/>
    </xf>
    <xf numFmtId="3" fontId="17" fillId="0" borderId="26" xfId="8" applyNumberFormat="1" applyFont="1" applyBorder="1" applyAlignment="1">
      <alignment horizontal="right" vertical="center" indent="3"/>
    </xf>
    <xf numFmtId="0" fontId="12" fillId="0" borderId="18" xfId="8" applyFont="1" applyBorder="1" applyAlignment="1">
      <alignment horizontal="center" vertical="center"/>
    </xf>
    <xf numFmtId="3" fontId="17" fillId="0" borderId="57" xfId="8" applyNumberFormat="1" applyFont="1" applyBorder="1" applyAlignment="1">
      <alignment horizontal="right" vertical="center" indent="2"/>
    </xf>
    <xf numFmtId="9" fontId="17" fillId="0" borderId="69" xfId="8" applyNumberFormat="1" applyFont="1" applyBorder="1" applyAlignment="1">
      <alignment horizontal="right" vertical="center" indent="2"/>
    </xf>
    <xf numFmtId="3" fontId="26" fillId="0" borderId="26" xfId="17" applyNumberFormat="1" applyFont="1" applyFill="1" applyBorder="1" applyAlignment="1">
      <alignment horizontal="right" vertical="center" indent="1"/>
    </xf>
    <xf numFmtId="0" fontId="12" fillId="0" borderId="42" xfId="8" applyFont="1" applyBorder="1" applyAlignment="1">
      <alignment horizontal="center" vertical="center"/>
    </xf>
    <xf numFmtId="1" fontId="17" fillId="0" borderId="35" xfId="8" applyNumberFormat="1" applyFont="1" applyBorder="1" applyAlignment="1">
      <alignment horizontal="right" vertical="center" indent="3"/>
    </xf>
    <xf numFmtId="0" fontId="17" fillId="0" borderId="42" xfId="8" applyFont="1" applyBorder="1" applyAlignment="1">
      <alignment horizontal="right" vertical="center" indent="3"/>
    </xf>
    <xf numFmtId="9" fontId="17" fillId="0" borderId="36" xfId="8" applyNumberFormat="1" applyFont="1" applyBorder="1" applyAlignment="1">
      <alignment horizontal="right" vertical="center" indent="2"/>
    </xf>
    <xf numFmtId="0" fontId="26" fillId="0" borderId="11" xfId="8" applyFont="1" applyBorder="1" applyAlignment="1">
      <alignment horizontal="right" vertical="center" indent="3"/>
    </xf>
    <xf numFmtId="3" fontId="17" fillId="0" borderId="42" xfId="8" applyNumberFormat="1" applyFont="1" applyBorder="1" applyAlignment="1">
      <alignment horizontal="right" vertical="center" indent="2"/>
    </xf>
    <xf numFmtId="3" fontId="17" fillId="0" borderId="36" xfId="8" applyNumberFormat="1" applyFont="1" applyBorder="1" applyAlignment="1">
      <alignment horizontal="right" vertical="center" indent="2"/>
    </xf>
    <xf numFmtId="1" fontId="17" fillId="0" borderId="68" xfId="8" applyNumberFormat="1" applyFont="1" applyBorder="1" applyAlignment="1">
      <alignment horizontal="right" vertical="center" indent="2"/>
    </xf>
    <xf numFmtId="3" fontId="17" fillId="0" borderId="41" xfId="8" applyNumberFormat="1" applyFont="1" applyBorder="1" applyAlignment="1">
      <alignment horizontal="right" vertical="center" indent="2"/>
    </xf>
    <xf numFmtId="3" fontId="17" fillId="0" borderId="35" xfId="8" applyNumberFormat="1" applyFont="1" applyBorder="1" applyAlignment="1">
      <alignment horizontal="right" vertical="center" indent="2"/>
    </xf>
    <xf numFmtId="0" fontId="26" fillId="0" borderId="0" xfId="8" applyFont="1" applyAlignment="1">
      <alignment horizontal="right" vertical="center" indent="3"/>
    </xf>
    <xf numFmtId="0" fontId="26" fillId="0" borderId="63" xfId="8" applyFont="1" applyBorder="1" applyAlignment="1">
      <alignment horizontal="right" vertical="center" indent="3"/>
    </xf>
    <xf numFmtId="1" fontId="17" fillId="0" borderId="77" xfId="8" applyNumberFormat="1" applyFont="1" applyBorder="1" applyAlignment="1">
      <alignment horizontal="right" vertical="center" indent="3"/>
    </xf>
    <xf numFmtId="3" fontId="17" fillId="0" borderId="63" xfId="8" applyNumberFormat="1" applyFont="1" applyBorder="1" applyAlignment="1">
      <alignment horizontal="right" vertical="center" indent="3"/>
    </xf>
    <xf numFmtId="3" fontId="26" fillId="0" borderId="63" xfId="17" applyNumberFormat="1" applyFont="1" applyFill="1" applyBorder="1" applyAlignment="1">
      <alignment horizontal="right" vertical="center" indent="1"/>
    </xf>
    <xf numFmtId="1" fontId="17" fillId="0" borderId="37" xfId="8" applyNumberFormat="1" applyFont="1" applyBorder="1" applyAlignment="1">
      <alignment horizontal="right" vertical="center" indent="1"/>
    </xf>
    <xf numFmtId="0" fontId="17" fillId="0" borderId="35" xfId="8" applyFont="1" applyBorder="1" applyAlignment="1">
      <alignment horizontal="right" vertical="center" indent="3"/>
    </xf>
    <xf numFmtId="3" fontId="17" fillId="0" borderId="35" xfId="8" applyNumberFormat="1" applyFont="1" applyBorder="1" applyAlignment="1">
      <alignment horizontal="right" vertical="center" indent="3"/>
    </xf>
    <xf numFmtId="3" fontId="17" fillId="0" borderId="36" xfId="8" applyNumberFormat="1" applyFont="1" applyBorder="1" applyAlignment="1">
      <alignment horizontal="right" vertical="center" indent="3"/>
    </xf>
    <xf numFmtId="3" fontId="17" fillId="0" borderId="68" xfId="8" applyNumberFormat="1" applyFont="1" applyBorder="1" applyAlignment="1">
      <alignment horizontal="right" vertical="center" indent="3"/>
    </xf>
    <xf numFmtId="174" fontId="17" fillId="0" borderId="35" xfId="17" applyNumberFormat="1" applyFont="1" applyFill="1" applyBorder="1" applyAlignment="1">
      <alignment horizontal="right" vertical="center" indent="1"/>
    </xf>
    <xf numFmtId="174" fontId="17" fillId="0" borderId="41" xfId="17" applyNumberFormat="1" applyFont="1" applyFill="1" applyBorder="1" applyAlignment="1">
      <alignment horizontal="right" vertical="center" indent="1"/>
    </xf>
    <xf numFmtId="3" fontId="17" fillId="0" borderId="35" xfId="8" applyNumberFormat="1" applyFont="1" applyBorder="1" applyAlignment="1">
      <alignment horizontal="right" vertical="center" indent="1"/>
    </xf>
    <xf numFmtId="3" fontId="67" fillId="0" borderId="0" xfId="8" applyNumberFormat="1" applyFont="1"/>
    <xf numFmtId="0" fontId="9" fillId="5" borderId="0" xfId="8" applyFont="1" applyFill="1"/>
    <xf numFmtId="0" fontId="68" fillId="0" borderId="0" xfId="1" applyFont="1" applyAlignment="1">
      <alignment horizontal="left" vertical="center" wrapText="1"/>
    </xf>
    <xf numFmtId="0" fontId="71" fillId="0" borderId="0" xfId="1" applyFont="1" applyAlignment="1">
      <alignment vertical="top" wrapText="1"/>
    </xf>
    <xf numFmtId="0" fontId="72" fillId="0" borderId="0" xfId="1" applyFont="1" applyAlignment="1">
      <alignment horizontal="center" vertical="center" wrapText="1"/>
    </xf>
    <xf numFmtId="0" fontId="72" fillId="0" borderId="0" xfId="1" applyFont="1" applyAlignment="1">
      <alignment vertical="top" wrapText="1"/>
    </xf>
    <xf numFmtId="0" fontId="7" fillId="0" borderId="81" xfId="1" applyBorder="1" applyAlignment="1">
      <alignment horizontal="center" vertical="center" wrapText="1"/>
    </xf>
    <xf numFmtId="3" fontId="7" fillId="0" borderId="81" xfId="1" applyNumberFormat="1" applyBorder="1" applyAlignment="1">
      <alignment horizontal="center" vertical="center" wrapText="1"/>
    </xf>
    <xf numFmtId="1" fontId="9" fillId="0" borderId="0" xfId="8" applyNumberFormat="1" applyFont="1" applyAlignment="1">
      <alignment horizontal="right"/>
    </xf>
    <xf numFmtId="3" fontId="7" fillId="7" borderId="81" xfId="1" applyNumberFormat="1" applyFill="1" applyBorder="1" applyAlignment="1">
      <alignment horizontal="center" vertical="center" wrapText="1"/>
    </xf>
    <xf numFmtId="3" fontId="7" fillId="0" borderId="81" xfId="1" applyNumberFormat="1" applyBorder="1" applyAlignment="1">
      <alignment horizontal="center" vertical="center" wrapText="1" readingOrder="2"/>
    </xf>
    <xf numFmtId="0" fontId="7" fillId="0" borderId="82" xfId="1" applyBorder="1" applyAlignment="1">
      <alignment horizontal="left" vertical="center" wrapText="1"/>
    </xf>
    <xf numFmtId="0" fontId="7" fillId="0" borderId="83" xfId="1" applyBorder="1" applyAlignment="1">
      <alignment horizontal="left" vertical="center" wrapText="1"/>
    </xf>
    <xf numFmtId="0" fontId="7" fillId="0" borderId="84" xfId="1" applyBorder="1" applyAlignment="1">
      <alignment horizontal="left" vertical="center" wrapText="1"/>
    </xf>
    <xf numFmtId="0" fontId="73" fillId="0" borderId="0" xfId="1" applyFont="1" applyAlignment="1">
      <alignment horizontal="center" vertical="center"/>
    </xf>
    <xf numFmtId="3" fontId="7" fillId="7" borderId="81" xfId="1" applyNumberFormat="1" applyFill="1" applyBorder="1" applyAlignment="1">
      <alignment horizontal="right" vertical="center" wrapText="1"/>
    </xf>
    <xf numFmtId="0" fontId="7" fillId="0" borderId="81" xfId="1" applyBorder="1" applyAlignment="1">
      <alignment horizontal="right" vertical="center" wrapText="1"/>
    </xf>
    <xf numFmtId="3" fontId="7" fillId="6" borderId="81" xfId="1" applyNumberFormat="1" applyFill="1" applyBorder="1" applyAlignment="1">
      <alignment horizontal="right" vertical="center" wrapText="1"/>
    </xf>
    <xf numFmtId="0" fontId="7" fillId="6" borderId="81" xfId="1" applyFill="1" applyBorder="1" applyAlignment="1">
      <alignment horizontal="right" vertical="center" wrapText="1"/>
    </xf>
    <xf numFmtId="19" fontId="68" fillId="0" borderId="0" xfId="1" applyNumberFormat="1" applyFont="1" applyAlignment="1">
      <alignment horizontal="right" vertical="center" wrapText="1"/>
    </xf>
    <xf numFmtId="0" fontId="68" fillId="0" borderId="0" xfId="1" applyFont="1" applyAlignment="1">
      <alignment horizontal="right" vertical="center" wrapText="1"/>
    </xf>
    <xf numFmtId="0" fontId="69" fillId="0" borderId="0" xfId="1" applyFont="1" applyAlignment="1">
      <alignment horizontal="center" vertical="center" wrapText="1"/>
    </xf>
    <xf numFmtId="0" fontId="70" fillId="0" borderId="0" xfId="1" applyFont="1" applyAlignment="1">
      <alignment horizontal="center" vertical="center" wrapText="1"/>
    </xf>
    <xf numFmtId="0" fontId="7" fillId="0" borderId="0" xfId="1" applyAlignment="1">
      <alignment vertical="top" wrapText="1"/>
    </xf>
    <xf numFmtId="0" fontId="7" fillId="0" borderId="0" xfId="1" applyAlignment="1">
      <alignment horizontal="right" vertical="top" wrapText="1"/>
    </xf>
    <xf numFmtId="0" fontId="74" fillId="0" borderId="0" xfId="1" applyFont="1" applyAlignment="1">
      <alignment vertical="center" wrapText="1"/>
    </xf>
    <xf numFmtId="0" fontId="7" fillId="0" borderId="0" xfId="1" applyAlignment="1">
      <alignment horizontal="center" vertical="top" wrapText="1"/>
    </xf>
    <xf numFmtId="0" fontId="74" fillId="0" borderId="0" xfId="1" applyFont="1" applyAlignment="1">
      <alignment horizontal="left" vertical="center" wrapText="1"/>
    </xf>
    <xf numFmtId="0" fontId="7" fillId="0" borderId="0" xfId="1" applyAlignment="1">
      <alignment horizontal="left" vertical="center" wrapText="1"/>
    </xf>
    <xf numFmtId="0" fontId="7" fillId="0" borderId="85" xfId="1" applyBorder="1" applyAlignment="1">
      <alignment vertical="center" wrapText="1"/>
    </xf>
    <xf numFmtId="0" fontId="7" fillId="13" borderId="0" xfId="1" applyFill="1" applyAlignment="1">
      <alignment vertical="center" wrapText="1"/>
    </xf>
    <xf numFmtId="0" fontId="7" fillId="0" borderId="0" xfId="1" applyAlignment="1">
      <alignment vertical="center" wrapText="1"/>
    </xf>
    <xf numFmtId="0" fontId="7" fillId="0" borderId="0" xfId="1" applyAlignment="1">
      <alignment horizontal="right" vertical="center" wrapText="1"/>
    </xf>
    <xf numFmtId="0" fontId="7" fillId="14" borderId="86" xfId="1" applyFill="1" applyBorder="1" applyAlignment="1">
      <alignment vertical="center" wrapText="1"/>
    </xf>
    <xf numFmtId="0" fontId="7" fillId="14" borderId="86" xfId="1" applyFill="1" applyBorder="1" applyAlignment="1">
      <alignment horizontal="right" vertical="center" wrapText="1"/>
    </xf>
    <xf numFmtId="0" fontId="7" fillId="0" borderId="87" xfId="1" applyBorder="1" applyAlignment="1">
      <alignment vertical="center" wrapText="1"/>
    </xf>
    <xf numFmtId="0" fontId="7" fillId="7" borderId="86" xfId="1" applyFill="1" applyBorder="1" applyAlignment="1">
      <alignment horizontal="right" vertical="center" wrapText="1"/>
    </xf>
    <xf numFmtId="0" fontId="7" fillId="15" borderId="0" xfId="1" applyFill="1" applyAlignment="1">
      <alignment vertical="center" wrapText="1"/>
    </xf>
    <xf numFmtId="0" fontId="7" fillId="15" borderId="0" xfId="1" applyFill="1" applyAlignment="1">
      <alignment horizontal="right" vertical="center" wrapText="1"/>
    </xf>
    <xf numFmtId="3" fontId="7" fillId="15" borderId="0" xfId="1" applyNumberFormat="1" applyFill="1" applyAlignment="1">
      <alignment horizontal="right" vertical="center" wrapText="1"/>
    </xf>
    <xf numFmtId="0" fontId="11" fillId="0" borderId="5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3" fontId="35" fillId="0" borderId="63" xfId="13" applyNumberFormat="1" applyFont="1" applyBorder="1" applyAlignment="1">
      <alignment horizontal="right" vertical="center" indent="2"/>
    </xf>
    <xf numFmtId="0" fontId="24" fillId="0" borderId="5" xfId="1" applyFont="1" applyBorder="1" applyAlignment="1">
      <alignment horizontal="right" vertical="center" indent="2"/>
    </xf>
    <xf numFmtId="175" fontId="32" fillId="0" borderId="69" xfId="1" applyNumberFormat="1" applyFont="1" applyBorder="1" applyAlignment="1">
      <alignment horizontal="right" vertical="center" indent="2"/>
    </xf>
    <xf numFmtId="0" fontId="9" fillId="0" borderId="0" xfId="1" applyFont="1" applyAlignment="1">
      <alignment horizontal="right"/>
    </xf>
    <xf numFmtId="0" fontId="9" fillId="0" borderId="63" xfId="1" applyFont="1" applyBorder="1" applyAlignment="1">
      <alignment horizontal="right"/>
    </xf>
    <xf numFmtId="0" fontId="32" fillId="0" borderId="0" xfId="13" applyFont="1" applyAlignment="1">
      <alignment horizontal="right" vertical="center"/>
    </xf>
    <xf numFmtId="3" fontId="35" fillId="0" borderId="41" xfId="1" applyNumberFormat="1" applyFont="1" applyBorder="1" applyAlignment="1">
      <alignment horizontal="right" vertical="center" indent="2"/>
    </xf>
    <xf numFmtId="0" fontId="24" fillId="0" borderId="42" xfId="1" applyFont="1" applyBorder="1" applyAlignment="1">
      <alignment horizontal="right" vertical="center" indent="2"/>
    </xf>
    <xf numFmtId="175" fontId="32" fillId="0" borderId="36" xfId="1" applyNumberFormat="1" applyFont="1" applyBorder="1" applyAlignment="1">
      <alignment horizontal="right" vertical="center" indent="2"/>
    </xf>
    <xf numFmtId="0" fontId="11" fillId="0" borderId="42" xfId="1" applyFont="1" applyBorder="1" applyAlignment="1">
      <alignment horizontal="center" vertical="center"/>
    </xf>
    <xf numFmtId="0" fontId="11" fillId="0" borderId="35" xfId="1" applyFont="1" applyBorder="1" applyAlignment="1">
      <alignment horizontal="center" vertical="center" textRotation="90"/>
    </xf>
    <xf numFmtId="0" fontId="11" fillId="0" borderId="48" xfId="1" applyFont="1" applyBorder="1" applyAlignment="1">
      <alignment horizontal="center" vertical="center" textRotation="90"/>
    </xf>
    <xf numFmtId="0" fontId="11" fillId="0" borderId="41" xfId="1" applyFont="1" applyBorder="1" applyAlignment="1">
      <alignment horizontal="center" vertical="center" textRotation="90"/>
    </xf>
    <xf numFmtId="0" fontId="11" fillId="0" borderId="41" xfId="1" applyFont="1" applyBorder="1" applyAlignment="1">
      <alignment horizontal="center" vertical="center" textRotation="90" wrapText="1"/>
    </xf>
    <xf numFmtId="0" fontId="11" fillId="0" borderId="36" xfId="1" applyFont="1" applyBorder="1" applyAlignment="1">
      <alignment horizontal="center" vertical="center" textRotation="90" wrapText="1"/>
    </xf>
    <xf numFmtId="0" fontId="11" fillId="0" borderId="45" xfId="1" applyFont="1" applyBorder="1" applyAlignment="1">
      <alignment horizontal="center" vertical="center"/>
    </xf>
    <xf numFmtId="0" fontId="12" fillId="0" borderId="65" xfId="1" applyFont="1" applyBorder="1" applyAlignment="1">
      <alignment horizontal="center" vertical="center"/>
    </xf>
    <xf numFmtId="3" fontId="78" fillId="0" borderId="27" xfId="12" applyNumberFormat="1" applyFont="1" applyBorder="1" applyAlignment="1">
      <alignment horizontal="center" vertical="center"/>
    </xf>
    <xf numFmtId="3" fontId="78" fillId="0" borderId="72" xfId="12" applyNumberFormat="1" applyFont="1" applyBorder="1" applyAlignment="1">
      <alignment horizontal="center" vertical="center"/>
    </xf>
    <xf numFmtId="3" fontId="78" fillId="0" borderId="53" xfId="12" applyNumberFormat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3" fontId="79" fillId="0" borderId="25" xfId="12" applyNumberFormat="1" applyFont="1" applyBorder="1" applyAlignment="1">
      <alignment horizontal="center" vertical="center" readingOrder="2"/>
    </xf>
    <xf numFmtId="3" fontId="78" fillId="0" borderId="25" xfId="12" applyNumberFormat="1" applyFont="1" applyBorder="1" applyAlignment="1">
      <alignment horizontal="center" vertical="center" readingOrder="2"/>
    </xf>
    <xf numFmtId="3" fontId="79" fillId="0" borderId="49" xfId="12" applyNumberFormat="1" applyFont="1" applyBorder="1" applyAlignment="1">
      <alignment horizontal="center" vertical="center" readingOrder="2"/>
    </xf>
    <xf numFmtId="3" fontId="79" fillId="0" borderId="0" xfId="12" applyNumberFormat="1" applyFont="1" applyAlignment="1">
      <alignment horizontal="center" vertical="center" readingOrder="2"/>
    </xf>
    <xf numFmtId="3" fontId="79" fillId="0" borderId="25" xfId="12" applyNumberFormat="1" applyFont="1" applyBorder="1" applyAlignment="1">
      <alignment horizontal="center"/>
    </xf>
    <xf numFmtId="3" fontId="79" fillId="0" borderId="49" xfId="12" applyNumberFormat="1" applyFont="1" applyBorder="1" applyAlignment="1">
      <alignment horizontal="center"/>
    </xf>
    <xf numFmtId="3" fontId="79" fillId="0" borderId="28" xfId="12" applyNumberFormat="1" applyFont="1" applyBorder="1" applyAlignment="1">
      <alignment horizontal="center"/>
    </xf>
    <xf numFmtId="3" fontId="79" fillId="0" borderId="31" xfId="12" applyNumberFormat="1" applyFont="1" applyBorder="1" applyAlignment="1">
      <alignment horizontal="center" vertical="center" readingOrder="2"/>
    </xf>
    <xf numFmtId="2" fontId="9" fillId="0" borderId="0" xfId="1" applyNumberFormat="1" applyFont="1"/>
    <xf numFmtId="3" fontId="79" fillId="0" borderId="49" xfId="12" applyNumberFormat="1" applyFont="1" applyBorder="1" applyAlignment="1">
      <alignment horizontal="center" vertical="center"/>
    </xf>
    <xf numFmtId="3" fontId="79" fillId="0" borderId="28" xfId="12" quotePrefix="1" applyNumberFormat="1" applyFont="1" applyBorder="1" applyAlignment="1">
      <alignment horizontal="center"/>
    </xf>
    <xf numFmtId="3" fontId="79" fillId="0" borderId="31" xfId="12" quotePrefix="1" applyNumberFormat="1" applyFont="1" applyBorder="1" applyAlignment="1">
      <alignment horizontal="center"/>
    </xf>
    <xf numFmtId="3" fontId="79" fillId="0" borderId="31" xfId="12" applyNumberFormat="1" applyFont="1" applyBorder="1" applyAlignment="1">
      <alignment horizontal="center"/>
    </xf>
    <xf numFmtId="0" fontId="12" fillId="0" borderId="52" xfId="1" applyFont="1" applyBorder="1" applyAlignment="1">
      <alignment horizontal="center" vertical="center"/>
    </xf>
    <xf numFmtId="3" fontId="79" fillId="0" borderId="29" xfId="12" applyNumberFormat="1" applyFont="1" applyBorder="1" applyAlignment="1">
      <alignment horizontal="center"/>
    </xf>
    <xf numFmtId="0" fontId="12" fillId="0" borderId="42" xfId="1" applyFont="1" applyBorder="1" applyAlignment="1">
      <alignment horizontal="center" vertical="center"/>
    </xf>
    <xf numFmtId="3" fontId="17" fillId="0" borderId="64" xfId="1" applyNumberFormat="1" applyFont="1" applyBorder="1" applyAlignment="1">
      <alignment horizontal="right" vertical="center"/>
    </xf>
    <xf numFmtId="3" fontId="17" fillId="0" borderId="58" xfId="1" applyNumberFormat="1" applyFont="1" applyBorder="1" applyAlignment="1">
      <alignment horizontal="right" vertical="center"/>
    </xf>
    <xf numFmtId="3" fontId="17" fillId="0" borderId="59" xfId="1" applyNumberFormat="1" applyFont="1" applyBorder="1" applyAlignment="1">
      <alignment horizontal="right" vertical="center"/>
    </xf>
    <xf numFmtId="3" fontId="17" fillId="0" borderId="57" xfId="1" applyNumberFormat="1" applyFont="1" applyBorder="1" applyAlignment="1">
      <alignment horizontal="right" vertical="center"/>
    </xf>
    <xf numFmtId="3" fontId="17" fillId="0" borderId="45" xfId="1" applyNumberFormat="1" applyFont="1" applyBorder="1" applyAlignment="1">
      <alignment horizontal="right" vertical="center"/>
    </xf>
    <xf numFmtId="0" fontId="80" fillId="0" borderId="0" xfId="12" applyFont="1" applyAlignment="1">
      <alignment horizontal="center" vertical="center"/>
    </xf>
    <xf numFmtId="0" fontId="80" fillId="16" borderId="0" xfId="12" applyFont="1" applyFill="1" applyAlignment="1">
      <alignment horizontal="center" vertical="center"/>
    </xf>
    <xf numFmtId="3" fontId="12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center"/>
    </xf>
    <xf numFmtId="3" fontId="35" fillId="0" borderId="63" xfId="1" applyNumberFormat="1" applyFont="1" applyBorder="1" applyAlignment="1">
      <alignment horizontal="right" vertical="center" indent="1"/>
    </xf>
    <xf numFmtId="3" fontId="32" fillId="0" borderId="5" xfId="1" applyNumberFormat="1" applyFont="1" applyBorder="1" applyAlignment="1">
      <alignment horizontal="right" vertical="center" indent="1"/>
    </xf>
    <xf numFmtId="175" fontId="32" fillId="0" borderId="69" xfId="1" applyNumberFormat="1" applyFont="1" applyBorder="1" applyAlignment="1">
      <alignment horizontal="right" vertical="center" indent="1"/>
    </xf>
    <xf numFmtId="3" fontId="32" fillId="0" borderId="41" xfId="1" applyNumberFormat="1" applyFont="1" applyBorder="1" applyAlignment="1">
      <alignment horizontal="right" vertical="center" indent="1"/>
    </xf>
    <xf numFmtId="3" fontId="32" fillId="0" borderId="42" xfId="1" applyNumberFormat="1" applyFont="1" applyBorder="1" applyAlignment="1">
      <alignment horizontal="right" vertical="center" indent="1"/>
    </xf>
    <xf numFmtId="175" fontId="32" fillId="0" borderId="36" xfId="1" applyNumberFormat="1" applyFont="1" applyBorder="1" applyAlignment="1">
      <alignment horizontal="right" vertical="center" indent="1"/>
    </xf>
    <xf numFmtId="0" fontId="82" fillId="0" borderId="0" xfId="1" applyFont="1"/>
    <xf numFmtId="0" fontId="21" fillId="4" borderId="3" xfId="1" applyFont="1" applyFill="1" applyBorder="1" applyAlignment="1">
      <alignment horizontal="center" vertical="center"/>
    </xf>
    <xf numFmtId="0" fontId="24" fillId="4" borderId="42" xfId="1" applyFont="1" applyFill="1" applyBorder="1" applyAlignment="1">
      <alignment horizontal="center" vertical="center"/>
    </xf>
    <xf numFmtId="0" fontId="24" fillId="4" borderId="41" xfId="1" applyFont="1" applyFill="1" applyBorder="1" applyAlignment="1">
      <alignment horizontal="center" vertical="center"/>
    </xf>
    <xf numFmtId="0" fontId="24" fillId="4" borderId="48" xfId="1" applyFont="1" applyFill="1" applyBorder="1" applyAlignment="1">
      <alignment horizontal="center" vertical="center"/>
    </xf>
    <xf numFmtId="0" fontId="24" fillId="4" borderId="45" xfId="1" applyFont="1" applyFill="1" applyBorder="1" applyAlignment="1">
      <alignment horizontal="center" vertical="center"/>
    </xf>
    <xf numFmtId="0" fontId="11" fillId="4" borderId="45" xfId="1" applyFont="1" applyFill="1" applyBorder="1" applyAlignment="1">
      <alignment horizontal="center" vertical="center"/>
    </xf>
    <xf numFmtId="3" fontId="49" fillId="0" borderId="43" xfId="1" applyNumberFormat="1" applyFont="1" applyBorder="1" applyAlignment="1">
      <alignment horizontal="center" vertical="center"/>
    </xf>
    <xf numFmtId="3" fontId="49" fillId="0" borderId="41" xfId="1" applyNumberFormat="1" applyFont="1" applyBorder="1" applyAlignment="1">
      <alignment horizontal="center" vertical="center"/>
    </xf>
    <xf numFmtId="3" fontId="49" fillId="0" borderId="48" xfId="1" applyNumberFormat="1" applyFont="1" applyBorder="1" applyAlignment="1">
      <alignment horizontal="center" vertical="center"/>
    </xf>
    <xf numFmtId="3" fontId="17" fillId="0" borderId="45" xfId="1" applyNumberFormat="1" applyFont="1" applyBorder="1" applyAlignment="1">
      <alignment horizontal="right" vertical="center" indent="2"/>
    </xf>
    <xf numFmtId="0" fontId="11" fillId="4" borderId="6" xfId="1" applyFont="1" applyFill="1" applyBorder="1" applyAlignment="1">
      <alignment horizontal="center" vertical="center"/>
    </xf>
    <xf numFmtId="3" fontId="49" fillId="0" borderId="2" xfId="1" applyNumberFormat="1" applyFont="1" applyBorder="1" applyAlignment="1">
      <alignment horizontal="center" vertical="center"/>
    </xf>
    <xf numFmtId="3" fontId="49" fillId="0" borderId="62" xfId="1" applyNumberFormat="1" applyFont="1" applyBorder="1" applyAlignment="1">
      <alignment horizontal="center" vertical="center"/>
    </xf>
    <xf numFmtId="3" fontId="49" fillId="0" borderId="61" xfId="1" applyNumberFormat="1" applyFont="1" applyBorder="1" applyAlignment="1">
      <alignment horizontal="center" vertical="center"/>
    </xf>
    <xf numFmtId="3" fontId="17" fillId="0" borderId="3" xfId="1" applyNumberFormat="1" applyFont="1" applyBorder="1" applyAlignment="1">
      <alignment horizontal="right" vertical="center" indent="2"/>
    </xf>
    <xf numFmtId="3" fontId="49" fillId="0" borderId="0" xfId="1" applyNumberFormat="1" applyFont="1" applyAlignment="1">
      <alignment horizontal="center" vertical="center"/>
    </xf>
    <xf numFmtId="3" fontId="49" fillId="0" borderId="63" xfId="1" applyNumberFormat="1" applyFont="1" applyBorder="1" applyAlignment="1">
      <alignment horizontal="center" vertical="center"/>
    </xf>
    <xf numFmtId="3" fontId="49" fillId="0" borderId="78" xfId="1" applyNumberFormat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right" vertical="center" indent="2"/>
    </xf>
    <xf numFmtId="0" fontId="11" fillId="4" borderId="3" xfId="1" applyFont="1" applyFill="1" applyBorder="1" applyAlignment="1">
      <alignment horizontal="center" vertical="center"/>
    </xf>
    <xf numFmtId="3" fontId="49" fillId="0" borderId="20" xfId="1" applyNumberFormat="1" applyFont="1" applyBorder="1" applyAlignment="1">
      <alignment horizontal="center" vertical="center"/>
    </xf>
    <xf numFmtId="0" fontId="11" fillId="4" borderId="6" xfId="18" applyFont="1" applyFill="1" applyBorder="1" applyAlignment="1">
      <alignment horizontal="center" vertical="center"/>
    </xf>
    <xf numFmtId="3" fontId="17" fillId="0" borderId="45" xfId="1" applyNumberFormat="1" applyFont="1" applyBorder="1" applyAlignment="1">
      <alignment horizontal="right" vertical="center" indent="1"/>
    </xf>
    <xf numFmtId="3" fontId="49" fillId="0" borderId="35" xfId="1" applyNumberFormat="1" applyFont="1" applyBorder="1" applyAlignment="1">
      <alignment horizontal="center" vertical="center"/>
    </xf>
    <xf numFmtId="3" fontId="49" fillId="0" borderId="68" xfId="1" applyNumberFormat="1" applyFont="1" applyBorder="1" applyAlignment="1">
      <alignment horizontal="center" vertical="center"/>
    </xf>
    <xf numFmtId="3" fontId="17" fillId="0" borderId="18" xfId="1" applyNumberFormat="1" applyFont="1" applyBorder="1" applyAlignment="1">
      <alignment horizontal="right" vertical="center" indent="2"/>
    </xf>
    <xf numFmtId="0" fontId="16" fillId="4" borderId="88" xfId="1" applyFont="1" applyFill="1" applyBorder="1" applyAlignment="1">
      <alignment horizontal="center" vertical="center" wrapText="1" readingOrder="2"/>
    </xf>
    <xf numFmtId="3" fontId="49" fillId="0" borderId="42" xfId="1" applyNumberFormat="1" applyFont="1" applyBorder="1" applyAlignment="1">
      <alignment horizontal="center" vertical="center"/>
    </xf>
    <xf numFmtId="3" fontId="82" fillId="0" borderId="0" xfId="1" applyNumberFormat="1" applyFont="1"/>
    <xf numFmtId="0" fontId="16" fillId="4" borderId="45" xfId="1" applyFont="1" applyFill="1" applyBorder="1" applyAlignment="1">
      <alignment horizontal="center" vertical="center" wrapText="1" readingOrder="2"/>
    </xf>
    <xf numFmtId="3" fontId="17" fillId="0" borderId="42" xfId="1" applyNumberFormat="1" applyFont="1" applyBorder="1" applyAlignment="1">
      <alignment horizontal="right" vertical="center" indent="1"/>
    </xf>
    <xf numFmtId="3" fontId="17" fillId="0" borderId="41" xfId="1" applyNumberFormat="1" applyFont="1" applyBorder="1" applyAlignment="1">
      <alignment horizontal="right" vertical="center" indent="1"/>
    </xf>
    <xf numFmtId="3" fontId="17" fillId="0" borderId="48" xfId="1" applyNumberFormat="1" applyFont="1" applyBorder="1" applyAlignment="1">
      <alignment horizontal="right" vertical="center" indent="1"/>
    </xf>
    <xf numFmtId="0" fontId="32" fillId="0" borderId="0" xfId="1" applyFont="1"/>
    <xf numFmtId="3" fontId="83" fillId="0" borderId="0" xfId="1" applyNumberFormat="1" applyFont="1"/>
    <xf numFmtId="0" fontId="85" fillId="0" borderId="0" xfId="19" applyFont="1"/>
    <xf numFmtId="0" fontId="8" fillId="0" borderId="1" xfId="1" applyFont="1" applyBorder="1" applyAlignment="1">
      <alignment vertical="center"/>
    </xf>
    <xf numFmtId="0" fontId="16" fillId="4" borderId="20" xfId="1" applyFont="1" applyFill="1" applyBorder="1" applyAlignment="1">
      <alignment horizontal="center" vertical="center" textRotation="90"/>
    </xf>
    <xf numFmtId="0" fontId="16" fillId="4" borderId="62" xfId="1" applyFont="1" applyFill="1" applyBorder="1" applyAlignment="1">
      <alignment horizontal="center" vertical="center" textRotation="90"/>
    </xf>
    <xf numFmtId="0" fontId="16" fillId="4" borderId="61" xfId="1" applyFont="1" applyFill="1" applyBorder="1" applyAlignment="1">
      <alignment horizontal="center" vertical="center" textRotation="90"/>
    </xf>
    <xf numFmtId="0" fontId="16" fillId="4" borderId="48" xfId="1" applyFont="1" applyFill="1" applyBorder="1" applyAlignment="1">
      <alignment horizontal="center" vertical="center" textRotation="90"/>
    </xf>
    <xf numFmtId="0" fontId="11" fillId="4" borderId="62" xfId="1" applyFont="1" applyFill="1" applyBorder="1" applyAlignment="1">
      <alignment horizontal="center" vertical="center" textRotation="90"/>
    </xf>
    <xf numFmtId="0" fontId="11" fillId="4" borderId="36" xfId="1" applyFont="1" applyFill="1" applyBorder="1" applyAlignment="1">
      <alignment horizontal="center" vertical="center" textRotation="90"/>
    </xf>
    <xf numFmtId="0" fontId="12" fillId="4" borderId="45" xfId="1" applyFont="1" applyFill="1" applyBorder="1" applyAlignment="1">
      <alignment horizontal="center" vertical="center"/>
    </xf>
    <xf numFmtId="3" fontId="26" fillId="0" borderId="48" xfId="20" applyNumberFormat="1" applyFont="1" applyBorder="1" applyAlignment="1">
      <alignment horizontal="right" vertical="center"/>
    </xf>
    <xf numFmtId="3" fontId="26" fillId="2" borderId="48" xfId="20" applyNumberFormat="1" applyFont="1" applyFill="1" applyBorder="1" applyAlignment="1">
      <alignment horizontal="right" vertical="center"/>
    </xf>
    <xf numFmtId="3" fontId="26" fillId="0" borderId="41" xfId="20" applyNumberFormat="1" applyFont="1" applyBorder="1" applyAlignment="1">
      <alignment horizontal="right" vertical="center"/>
    </xf>
    <xf numFmtId="3" fontId="26" fillId="0" borderId="36" xfId="20" applyNumberFormat="1" applyFont="1" applyBorder="1" applyAlignment="1">
      <alignment horizontal="right" vertical="center"/>
    </xf>
    <xf numFmtId="0" fontId="12" fillId="4" borderId="6" xfId="1" applyFont="1" applyFill="1" applyBorder="1" applyAlignment="1">
      <alignment horizontal="center" vertical="center"/>
    </xf>
    <xf numFmtId="3" fontId="26" fillId="0" borderId="78" xfId="20" applyNumberFormat="1" applyFont="1" applyBorder="1" applyAlignment="1">
      <alignment horizontal="right" vertical="center"/>
    </xf>
    <xf numFmtId="3" fontId="26" fillId="0" borderId="63" xfId="20" applyNumberFormat="1" applyFont="1" applyBorder="1" applyAlignment="1">
      <alignment horizontal="right" vertical="center"/>
    </xf>
    <xf numFmtId="3" fontId="26" fillId="0" borderId="69" xfId="20" applyNumberFormat="1" applyFont="1" applyBorder="1" applyAlignment="1">
      <alignment horizontal="right" vertical="center"/>
    </xf>
    <xf numFmtId="3" fontId="17" fillId="0" borderId="6" xfId="1" applyNumberFormat="1" applyFont="1" applyBorder="1" applyAlignment="1">
      <alignment horizontal="right" vertical="center" indent="1"/>
    </xf>
    <xf numFmtId="3" fontId="26" fillId="0" borderId="48" xfId="1" applyNumberFormat="1" applyFont="1" applyBorder="1" applyAlignment="1">
      <alignment horizontal="right" vertical="center"/>
    </xf>
    <xf numFmtId="3" fontId="26" fillId="0" borderId="41" xfId="1" applyNumberFormat="1" applyFont="1" applyBorder="1" applyAlignment="1">
      <alignment horizontal="right" vertical="center"/>
    </xf>
    <xf numFmtId="3" fontId="26" fillId="2" borderId="41" xfId="1" applyNumberFormat="1" applyFont="1" applyFill="1" applyBorder="1" applyAlignment="1">
      <alignment horizontal="right" vertical="center"/>
    </xf>
    <xf numFmtId="3" fontId="26" fillId="0" borderId="36" xfId="1" applyNumberFormat="1" applyFont="1" applyBorder="1" applyAlignment="1">
      <alignment horizontal="right" vertical="center"/>
    </xf>
    <xf numFmtId="3" fontId="26" fillId="0" borderId="78" xfId="1" applyNumberFormat="1" applyFont="1" applyBorder="1" applyAlignment="1">
      <alignment horizontal="right" vertical="center"/>
    </xf>
    <xf numFmtId="3" fontId="26" fillId="0" borderId="63" xfId="1" applyNumberFormat="1" applyFont="1" applyBorder="1" applyAlignment="1">
      <alignment horizontal="right" vertical="center"/>
    </xf>
    <xf numFmtId="3" fontId="17" fillId="0" borderId="45" xfId="1" applyNumberFormat="1" applyFont="1" applyBorder="1" applyAlignment="1">
      <alignment horizontal="center" vertical="center"/>
    </xf>
    <xf numFmtId="3" fontId="26" fillId="0" borderId="61" xfId="20" applyNumberFormat="1" applyFont="1" applyBorder="1" applyAlignment="1">
      <alignment horizontal="right" vertical="center"/>
    </xf>
    <xf numFmtId="3" fontId="26" fillId="0" borderId="49" xfId="20" applyNumberFormat="1" applyFont="1" applyBorder="1" applyAlignment="1">
      <alignment horizontal="right" vertical="center"/>
    </xf>
    <xf numFmtId="3" fontId="26" fillId="0" borderId="58" xfId="20" applyNumberFormat="1" applyFont="1" applyBorder="1" applyAlignment="1">
      <alignment horizontal="right" vertical="center"/>
    </xf>
    <xf numFmtId="3" fontId="26" fillId="0" borderId="59" xfId="20" applyNumberFormat="1" applyFont="1" applyBorder="1" applyAlignment="1">
      <alignment horizontal="right" vertical="center"/>
    </xf>
    <xf numFmtId="3" fontId="26" fillId="0" borderId="57" xfId="20" applyNumberFormat="1" applyFont="1" applyBorder="1" applyAlignment="1">
      <alignment horizontal="right" vertical="center"/>
    </xf>
    <xf numFmtId="3" fontId="17" fillId="0" borderId="18" xfId="1" applyNumberFormat="1" applyFont="1" applyBorder="1" applyAlignment="1">
      <alignment horizontal="right" vertical="center" indent="1"/>
    </xf>
    <xf numFmtId="3" fontId="26" fillId="0" borderId="0" xfId="20" applyNumberFormat="1" applyFont="1" applyAlignment="1">
      <alignment horizontal="right" vertical="center"/>
    </xf>
    <xf numFmtId="0" fontId="40" fillId="4" borderId="6" xfId="1" applyFont="1" applyFill="1" applyBorder="1" applyAlignment="1">
      <alignment horizontal="center" vertical="center"/>
    </xf>
    <xf numFmtId="0" fontId="12" fillId="4" borderId="9" xfId="1" applyFont="1" applyFill="1" applyBorder="1" applyAlignment="1">
      <alignment horizontal="center" vertical="center"/>
    </xf>
    <xf numFmtId="3" fontId="87" fillId="0" borderId="21" xfId="1" applyNumberFormat="1" applyFont="1" applyBorder="1" applyAlignment="1">
      <alignment horizontal="center" vertical="center"/>
    </xf>
    <xf numFmtId="3" fontId="87" fillId="0" borderId="22" xfId="1" applyNumberFormat="1" applyFont="1" applyBorder="1" applyAlignment="1">
      <alignment horizontal="center" vertical="center"/>
    </xf>
    <xf numFmtId="3" fontId="87" fillId="0" borderId="46" xfId="1" applyNumberFormat="1" applyFont="1" applyBorder="1" applyAlignment="1">
      <alignment horizontal="center" vertical="center"/>
    </xf>
    <xf numFmtId="3" fontId="26" fillId="0" borderId="46" xfId="1" applyNumberFormat="1" applyFont="1" applyBorder="1" applyAlignment="1">
      <alignment horizontal="center" vertical="center"/>
    </xf>
    <xf numFmtId="3" fontId="87" fillId="0" borderId="23" xfId="1" applyNumberFormat="1" applyFont="1" applyBorder="1" applyAlignment="1">
      <alignment horizontal="center" vertical="center"/>
    </xf>
    <xf numFmtId="3" fontId="17" fillId="0" borderId="9" xfId="1" applyNumberFormat="1" applyFont="1" applyBorder="1" applyAlignment="1">
      <alignment horizontal="right" vertical="center" indent="1"/>
    </xf>
    <xf numFmtId="0" fontId="12" fillId="4" borderId="18" xfId="1" applyFont="1" applyFill="1" applyBorder="1" applyAlignment="1">
      <alignment horizontal="center" vertical="center"/>
    </xf>
    <xf numFmtId="3" fontId="87" fillId="0" borderId="1" xfId="1" applyNumberFormat="1" applyFont="1" applyBorder="1" applyAlignment="1">
      <alignment horizontal="center" vertical="center"/>
    </xf>
    <xf numFmtId="3" fontId="87" fillId="0" borderId="58" xfId="1" applyNumberFormat="1" applyFont="1" applyBorder="1" applyAlignment="1">
      <alignment horizontal="center" vertical="center"/>
    </xf>
    <xf numFmtId="3" fontId="87" fillId="0" borderId="59" xfId="1" applyNumberFormat="1" applyFont="1" applyBorder="1" applyAlignment="1">
      <alignment horizontal="center" vertical="center"/>
    </xf>
    <xf numFmtId="3" fontId="26" fillId="0" borderId="57" xfId="1" applyNumberFormat="1" applyFont="1" applyBorder="1" applyAlignment="1">
      <alignment horizontal="right" vertical="center"/>
    </xf>
    <xf numFmtId="3" fontId="17" fillId="0" borderId="1" xfId="1" applyNumberFormat="1" applyFont="1" applyBorder="1" applyAlignment="1">
      <alignment horizontal="right" vertical="center"/>
    </xf>
    <xf numFmtId="3" fontId="17" fillId="0" borderId="18" xfId="1" applyNumberFormat="1" applyFont="1" applyBorder="1" applyAlignment="1">
      <alignment horizontal="center" vertical="center"/>
    </xf>
    <xf numFmtId="0" fontId="40" fillId="0" borderId="0" xfId="1" applyFont="1"/>
    <xf numFmtId="0" fontId="88" fillId="0" borderId="0" xfId="1" applyFont="1"/>
    <xf numFmtId="3" fontId="88" fillId="0" borderId="0" xfId="1" applyNumberFormat="1" applyFont="1"/>
    <xf numFmtId="19" fontId="9" fillId="0" borderId="0" xfId="1" applyNumberFormat="1" applyFont="1"/>
    <xf numFmtId="0" fontId="24" fillId="0" borderId="44" xfId="1" applyFont="1" applyBorder="1" applyAlignment="1">
      <alignment horizontal="center" vertical="center"/>
    </xf>
    <xf numFmtId="0" fontId="24" fillId="0" borderId="6" xfId="1" applyFont="1" applyBorder="1" applyAlignment="1">
      <alignment horizontal="center" vertical="center"/>
    </xf>
    <xf numFmtId="3" fontId="82" fillId="0" borderId="62" xfId="1" applyNumberFormat="1" applyFont="1" applyBorder="1" applyAlignment="1">
      <alignment horizontal="center" vertical="center"/>
    </xf>
    <xf numFmtId="3" fontId="82" fillId="0" borderId="61" xfId="1" applyNumberFormat="1" applyFont="1" applyBorder="1" applyAlignment="1">
      <alignment horizontal="center" vertical="center"/>
    </xf>
    <xf numFmtId="3" fontId="82" fillId="0" borderId="47" xfId="1" applyNumberFormat="1" applyFont="1" applyBorder="1" applyAlignment="1">
      <alignment horizontal="center" vertical="center"/>
    </xf>
    <xf numFmtId="3" fontId="87" fillId="0" borderId="47" xfId="1" applyNumberFormat="1" applyFont="1" applyBorder="1" applyAlignment="1">
      <alignment horizontal="center" vertical="center"/>
    </xf>
    <xf numFmtId="3" fontId="82" fillId="0" borderId="63" xfId="1" applyNumberFormat="1" applyFont="1" applyBorder="1" applyAlignment="1">
      <alignment horizontal="center" vertical="center"/>
    </xf>
    <xf numFmtId="3" fontId="82" fillId="0" borderId="78" xfId="1" applyNumberFormat="1" applyFont="1" applyBorder="1" applyAlignment="1">
      <alignment horizontal="center" vertical="center"/>
    </xf>
    <xf numFmtId="3" fontId="82" fillId="0" borderId="69" xfId="1" applyNumberFormat="1" applyFont="1" applyBorder="1" applyAlignment="1">
      <alignment horizontal="center" vertical="center"/>
    </xf>
    <xf numFmtId="3" fontId="87" fillId="0" borderId="69" xfId="1" applyNumberFormat="1" applyFont="1" applyBorder="1" applyAlignment="1">
      <alignment horizontal="center" vertical="center"/>
    </xf>
    <xf numFmtId="0" fontId="21" fillId="0" borderId="0" xfId="1" applyFont="1" applyAlignment="1">
      <alignment textRotation="180"/>
    </xf>
    <xf numFmtId="1" fontId="82" fillId="0" borderId="78" xfId="1" applyNumberFormat="1" applyFont="1" applyBorder="1" applyAlignment="1">
      <alignment horizontal="center" vertical="center"/>
    </xf>
    <xf numFmtId="0" fontId="24" fillId="0" borderId="18" xfId="1" applyFont="1" applyBorder="1" applyAlignment="1">
      <alignment horizontal="center" vertical="center"/>
    </xf>
    <xf numFmtId="3" fontId="82" fillId="0" borderId="59" xfId="1" applyNumberFormat="1" applyFont="1" applyBorder="1" applyAlignment="1">
      <alignment horizontal="center" vertical="center"/>
    </xf>
    <xf numFmtId="1" fontId="82" fillId="0" borderId="58" xfId="1" applyNumberFormat="1" applyFont="1" applyBorder="1" applyAlignment="1">
      <alignment horizontal="center" vertical="center"/>
    </xf>
    <xf numFmtId="3" fontId="82" fillId="0" borderId="57" xfId="1" applyNumberFormat="1" applyFont="1" applyBorder="1" applyAlignment="1">
      <alignment horizontal="center" vertical="center"/>
    </xf>
    <xf numFmtId="3" fontId="87" fillId="0" borderId="57" xfId="1" applyNumberFormat="1" applyFont="1" applyBorder="1" applyAlignment="1">
      <alignment horizontal="center" vertical="center"/>
    </xf>
    <xf numFmtId="3" fontId="82" fillId="0" borderId="48" xfId="1" applyNumberFormat="1" applyFont="1" applyBorder="1" applyAlignment="1">
      <alignment horizontal="center" vertical="center"/>
    </xf>
    <xf numFmtId="3" fontId="82" fillId="0" borderId="1" xfId="1" applyNumberFormat="1" applyFont="1" applyBorder="1" applyAlignment="1">
      <alignment horizontal="center" vertical="center"/>
    </xf>
    <xf numFmtId="0" fontId="17" fillId="0" borderId="0" xfId="1" applyFont="1" applyAlignment="1">
      <alignment vertical="center"/>
    </xf>
    <xf numFmtId="3" fontId="17" fillId="0" borderId="0" xfId="1" applyNumberFormat="1" applyFont="1" applyAlignment="1">
      <alignment vertical="center"/>
    </xf>
    <xf numFmtId="0" fontId="24" fillId="0" borderId="0" xfId="1" applyFont="1"/>
    <xf numFmtId="0" fontId="9" fillId="0" borderId="0" xfId="1" applyFont="1" applyAlignment="1">
      <alignment horizontal="left"/>
    </xf>
    <xf numFmtId="0" fontId="24" fillId="0" borderId="0" xfId="1" applyFont="1" applyAlignment="1">
      <alignment horizontal="right"/>
    </xf>
    <xf numFmtId="0" fontId="11" fillId="0" borderId="3" xfId="1" applyFont="1" applyBorder="1" applyAlignment="1">
      <alignment horizontal="center" vertical="center"/>
    </xf>
    <xf numFmtId="0" fontId="11" fillId="0" borderId="70" xfId="1" applyFont="1" applyBorder="1" applyAlignment="1">
      <alignment horizontal="center" vertical="center" textRotation="90"/>
    </xf>
    <xf numFmtId="0" fontId="11" fillId="0" borderId="61" xfId="1" applyFont="1" applyBorder="1" applyAlignment="1">
      <alignment horizontal="center" vertical="center" textRotation="90"/>
    </xf>
    <xf numFmtId="0" fontId="11" fillId="0" borderId="62" xfId="1" applyFont="1" applyBorder="1" applyAlignment="1">
      <alignment horizontal="center" vertical="center" textRotation="90"/>
    </xf>
    <xf numFmtId="0" fontId="11" fillId="0" borderId="47" xfId="1" applyFont="1" applyBorder="1" applyAlignment="1">
      <alignment horizontal="center" vertical="center" textRotation="90" wrapText="1"/>
    </xf>
    <xf numFmtId="0" fontId="17" fillId="0" borderId="0" xfId="1" applyFont="1"/>
    <xf numFmtId="0" fontId="26" fillId="0" borderId="0" xfId="1" applyFont="1" applyAlignment="1">
      <alignment readingOrder="2"/>
    </xf>
    <xf numFmtId="0" fontId="11" fillId="0" borderId="0" xfId="1" applyFont="1" applyAlignment="1">
      <alignment horizontal="center" vertical="center"/>
    </xf>
    <xf numFmtId="3" fontId="12" fillId="0" borderId="45" xfId="1" applyNumberFormat="1" applyFont="1" applyBorder="1" applyAlignment="1">
      <alignment horizontal="right" vertical="center"/>
    </xf>
    <xf numFmtId="0" fontId="9" fillId="0" borderId="45" xfId="1" applyFont="1" applyBorder="1"/>
    <xf numFmtId="3" fontId="26" fillId="0" borderId="45" xfId="1" applyNumberFormat="1" applyFont="1" applyBorder="1" applyAlignment="1">
      <alignment horizontal="center" vertical="center"/>
    </xf>
    <xf numFmtId="3" fontId="9" fillId="0" borderId="45" xfId="1" applyNumberFormat="1" applyFont="1" applyBorder="1" applyAlignment="1">
      <alignment horizontal="right" vertical="center"/>
    </xf>
    <xf numFmtId="3" fontId="35" fillId="0" borderId="0" xfId="1" applyNumberFormat="1" applyFont="1" applyAlignment="1">
      <alignment readingOrder="2"/>
    </xf>
    <xf numFmtId="0" fontId="35" fillId="0" borderId="0" xfId="1" applyFont="1" applyAlignment="1">
      <alignment readingOrder="2"/>
    </xf>
    <xf numFmtId="4" fontId="12" fillId="0" borderId="0" xfId="1" applyNumberFormat="1" applyFont="1" applyAlignment="1">
      <alignment horizontal="right" vertical="center"/>
    </xf>
    <xf numFmtId="3" fontId="19" fillId="0" borderId="45" xfId="1" applyNumberFormat="1" applyFont="1" applyBorder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3" fontId="9" fillId="2" borderId="45" xfId="1" applyNumberFormat="1" applyFont="1" applyFill="1" applyBorder="1" applyAlignment="1">
      <alignment horizontal="right" vertical="center"/>
    </xf>
    <xf numFmtId="0" fontId="43" fillId="0" borderId="0" xfId="1" applyFont="1" applyAlignment="1">
      <alignment horizontal="center" vertical="center"/>
    </xf>
    <xf numFmtId="0" fontId="89" fillId="0" borderId="0" xfId="1" applyFont="1"/>
    <xf numFmtId="3" fontId="89" fillId="0" borderId="0" xfId="1" applyNumberFormat="1" applyFont="1"/>
    <xf numFmtId="3" fontId="43" fillId="0" borderId="0" xfId="1" applyNumberFormat="1" applyFont="1" applyAlignment="1">
      <alignment horizontal="center" vertical="center"/>
    </xf>
    <xf numFmtId="170" fontId="9" fillId="0" borderId="0" xfId="1" applyNumberFormat="1" applyFont="1"/>
    <xf numFmtId="3" fontId="11" fillId="0" borderId="0" xfId="1" applyNumberFormat="1" applyFont="1" applyAlignment="1">
      <alignment horizontal="center" vertical="center"/>
    </xf>
    <xf numFmtId="3" fontId="35" fillId="0" borderId="69" xfId="1" applyNumberFormat="1" applyFont="1" applyBorder="1" applyAlignment="1">
      <alignment horizontal="right" vertical="center" indent="1"/>
    </xf>
    <xf numFmtId="3" fontId="35" fillId="0" borderId="57" xfId="1" applyNumberFormat="1" applyFont="1" applyBorder="1" applyAlignment="1">
      <alignment horizontal="right" vertical="center" indent="1"/>
    </xf>
    <xf numFmtId="176" fontId="32" fillId="0" borderId="41" xfId="1" applyNumberFormat="1" applyFont="1" applyBorder="1" applyAlignment="1">
      <alignment horizontal="right" vertical="center" indent="1"/>
    </xf>
    <xf numFmtId="0" fontId="9" fillId="0" borderId="0" xfId="1" applyFont="1" applyAlignment="1">
      <alignment horizontal="right" readingOrder="2"/>
    </xf>
    <xf numFmtId="176" fontId="9" fillId="0" borderId="0" xfId="1" applyNumberFormat="1" applyFont="1"/>
    <xf numFmtId="0" fontId="53" fillId="0" borderId="0" xfId="1" applyFont="1" applyAlignment="1">
      <alignment horizontal="center" vertical="center"/>
    </xf>
    <xf numFmtId="0" fontId="93" fillId="4" borderId="3" xfId="1" applyFont="1" applyFill="1" applyBorder="1" applyAlignment="1">
      <alignment horizontal="center" vertical="center"/>
    </xf>
    <xf numFmtId="0" fontId="93" fillId="4" borderId="20" xfId="1" applyFont="1" applyFill="1" applyBorder="1" applyAlignment="1">
      <alignment horizontal="center" vertical="center"/>
    </xf>
    <xf numFmtId="0" fontId="93" fillId="4" borderId="62" xfId="1" applyFont="1" applyFill="1" applyBorder="1" applyAlignment="1">
      <alignment horizontal="center" vertical="center"/>
    </xf>
    <xf numFmtId="0" fontId="93" fillId="4" borderId="61" xfId="1" applyFont="1" applyFill="1" applyBorder="1" applyAlignment="1">
      <alignment horizontal="center" vertical="center"/>
    </xf>
    <xf numFmtId="0" fontId="94" fillId="4" borderId="42" xfId="1" applyFont="1" applyFill="1" applyBorder="1" applyAlignment="1">
      <alignment horizontal="center" vertical="center"/>
    </xf>
    <xf numFmtId="3" fontId="95" fillId="0" borderId="45" xfId="12" applyNumberFormat="1" applyFont="1" applyBorder="1" applyAlignment="1">
      <alignment horizontal="center" vertical="center" readingOrder="2"/>
    </xf>
    <xf numFmtId="3" fontId="96" fillId="0" borderId="44" xfId="1" applyNumberFormat="1" applyFont="1" applyBorder="1" applyAlignment="1">
      <alignment horizontal="center" vertical="center"/>
    </xf>
    <xf numFmtId="3" fontId="53" fillId="0" borderId="0" xfId="1" applyNumberFormat="1" applyFont="1" applyAlignment="1">
      <alignment horizontal="center" vertical="center"/>
    </xf>
    <xf numFmtId="0" fontId="94" fillId="4" borderId="5" xfId="1" applyFont="1" applyFill="1" applyBorder="1" applyAlignment="1">
      <alignment horizontal="center" vertical="center"/>
    </xf>
    <xf numFmtId="3" fontId="96" fillId="0" borderId="7" xfId="1" applyNumberFormat="1" applyFont="1" applyBorder="1" applyAlignment="1">
      <alignment horizontal="center" vertical="center"/>
    </xf>
    <xf numFmtId="176" fontId="58" fillId="0" borderId="45" xfId="1" applyNumberFormat="1" applyFont="1" applyBorder="1" applyAlignment="1">
      <alignment horizontal="center" vertical="center"/>
    </xf>
    <xf numFmtId="0" fontId="95" fillId="0" borderId="45" xfId="12" applyFont="1" applyBorder="1" applyAlignment="1">
      <alignment horizontal="center" vertical="center" readingOrder="2"/>
    </xf>
    <xf numFmtId="0" fontId="94" fillId="4" borderId="2" xfId="1" applyFont="1" applyFill="1" applyBorder="1" applyAlignment="1">
      <alignment horizontal="center" vertical="center"/>
    </xf>
    <xf numFmtId="3" fontId="58" fillId="0" borderId="45" xfId="1" applyNumberFormat="1" applyFont="1" applyBorder="1" applyAlignment="1">
      <alignment horizontal="center" vertical="center"/>
    </xf>
    <xf numFmtId="0" fontId="94" fillId="4" borderId="18" xfId="1" applyFont="1" applyFill="1" applyBorder="1" applyAlignment="1">
      <alignment horizontal="center" vertical="center"/>
    </xf>
    <xf numFmtId="3" fontId="96" fillId="0" borderId="1" xfId="1" applyNumberFormat="1" applyFont="1" applyBorder="1" applyAlignment="1">
      <alignment horizontal="center" vertical="center"/>
    </xf>
    <xf numFmtId="3" fontId="96" fillId="0" borderId="59" xfId="1" applyNumberFormat="1" applyFont="1" applyBorder="1" applyAlignment="1">
      <alignment horizontal="center" vertical="center"/>
    </xf>
    <xf numFmtId="3" fontId="96" fillId="0" borderId="58" xfId="1" applyNumberFormat="1" applyFont="1" applyBorder="1" applyAlignment="1">
      <alignment horizontal="center" vertical="center"/>
    </xf>
    <xf numFmtId="3" fontId="96" fillId="0" borderId="57" xfId="1" applyNumberFormat="1" applyFont="1" applyBorder="1" applyAlignment="1">
      <alignment horizontal="center" vertical="center"/>
    </xf>
    <xf numFmtId="3" fontId="96" fillId="0" borderId="18" xfId="1" applyNumberFormat="1" applyFont="1" applyBorder="1" applyAlignment="1">
      <alignment horizontal="center" vertical="center"/>
    </xf>
    <xf numFmtId="177" fontId="53" fillId="0" borderId="0" xfId="1" applyNumberFormat="1" applyFont="1" applyAlignment="1">
      <alignment horizontal="center" vertical="center"/>
    </xf>
    <xf numFmtId="0" fontId="97" fillId="0" borderId="0" xfId="1" applyFont="1" applyAlignment="1">
      <alignment horizontal="center" vertical="center"/>
    </xf>
    <xf numFmtId="3" fontId="98" fillId="0" borderId="0" xfId="1" applyNumberFormat="1" applyFont="1" applyAlignment="1">
      <alignment horizontal="center" vertical="center"/>
    </xf>
    <xf numFmtId="1" fontId="53" fillId="0" borderId="0" xfId="1" applyNumberFormat="1" applyFont="1" applyAlignment="1">
      <alignment horizontal="center" vertical="center"/>
    </xf>
    <xf numFmtId="178" fontId="99" fillId="0" borderId="0" xfId="1" applyNumberFormat="1" applyFont="1" applyAlignment="1">
      <alignment horizontal="center" vertical="center"/>
    </xf>
    <xf numFmtId="3" fontId="100" fillId="0" borderId="0" xfId="1" applyNumberFormat="1" applyFont="1" applyAlignment="1">
      <alignment horizontal="center" vertical="center"/>
    </xf>
    <xf numFmtId="0" fontId="11" fillId="4" borderId="2" xfId="1" applyFont="1" applyFill="1" applyBorder="1" applyAlignment="1">
      <alignment horizontal="center" vertical="center" textRotation="90"/>
    </xf>
    <xf numFmtId="0" fontId="11" fillId="4" borderId="61" xfId="1" applyFont="1" applyFill="1" applyBorder="1" applyAlignment="1">
      <alignment horizontal="center" vertical="center" textRotation="90"/>
    </xf>
    <xf numFmtId="0" fontId="11" fillId="4" borderId="20" xfId="1" applyFont="1" applyFill="1" applyBorder="1" applyAlignment="1">
      <alignment horizontal="center" vertical="center" textRotation="90"/>
    </xf>
    <xf numFmtId="0" fontId="11" fillId="4" borderId="89" xfId="1" applyFont="1" applyFill="1" applyBorder="1" applyAlignment="1">
      <alignment horizontal="center" vertical="center" textRotation="90"/>
    </xf>
    <xf numFmtId="0" fontId="11" fillId="4" borderId="47" xfId="1" applyFont="1" applyFill="1" applyBorder="1" applyAlignment="1">
      <alignment horizontal="center" vertical="center" textRotation="90"/>
    </xf>
    <xf numFmtId="0" fontId="11" fillId="4" borderId="42" xfId="1" applyFont="1" applyFill="1" applyBorder="1" applyAlignment="1">
      <alignment horizontal="center" vertical="center"/>
    </xf>
    <xf numFmtId="0" fontId="11" fillId="4" borderId="5" xfId="1" applyFont="1" applyFill="1" applyBorder="1" applyAlignment="1">
      <alignment horizontal="center" vertical="center"/>
    </xf>
    <xf numFmtId="0" fontId="11" fillId="4" borderId="5" xfId="1" applyFont="1" applyFill="1" applyBorder="1" applyAlignment="1">
      <alignment horizontal="center" vertical="justify"/>
    </xf>
    <xf numFmtId="0" fontId="12" fillId="4" borderId="5" xfId="1" applyFont="1" applyFill="1" applyBorder="1" applyAlignment="1">
      <alignment horizontal="center" vertical="justify"/>
    </xf>
    <xf numFmtId="0" fontId="11" fillId="4" borderId="8" xfId="1" applyFont="1" applyFill="1" applyBorder="1" applyAlignment="1">
      <alignment horizontal="center" vertical="center"/>
    </xf>
    <xf numFmtId="0" fontId="11" fillId="4" borderId="17" xfId="1" applyFont="1" applyFill="1" applyBorder="1" applyAlignment="1">
      <alignment horizontal="center" vertical="center"/>
    </xf>
    <xf numFmtId="10" fontId="32" fillId="0" borderId="69" xfId="1" applyNumberFormat="1" applyFont="1" applyBorder="1" applyAlignment="1">
      <alignment horizontal="right" vertical="center" indent="2"/>
    </xf>
    <xf numFmtId="10" fontId="32" fillId="0" borderId="69" xfId="1" applyNumberFormat="1" applyFont="1" applyBorder="1" applyAlignment="1">
      <alignment horizontal="right" vertical="center"/>
    </xf>
    <xf numFmtId="0" fontId="42" fillId="0" borderId="6" xfId="1" applyFont="1" applyBorder="1" applyAlignment="1">
      <alignment horizontal="center" vertical="center"/>
    </xf>
    <xf numFmtId="3" fontId="102" fillId="0" borderId="5" xfId="1" applyNumberFormat="1" applyFont="1" applyBorder="1" applyAlignment="1">
      <alignment horizontal="right" vertical="center" indent="1"/>
    </xf>
    <xf numFmtId="10" fontId="102" fillId="0" borderId="69" xfId="1" applyNumberFormat="1" applyFont="1" applyBorder="1" applyAlignment="1">
      <alignment horizontal="right" vertical="center" indent="2"/>
    </xf>
    <xf numFmtId="10" fontId="32" fillId="0" borderId="36" xfId="1" applyNumberFormat="1" applyFont="1" applyBorder="1" applyAlignment="1">
      <alignment horizontal="right" vertical="center" indent="2"/>
    </xf>
    <xf numFmtId="0" fontId="40" fillId="0" borderId="0" xfId="1" applyFont="1" applyAlignment="1">
      <alignment horizontal="right"/>
    </xf>
    <xf numFmtId="0" fontId="32" fillId="0" borderId="0" xfId="1" applyFont="1" applyAlignment="1">
      <alignment horizontal="center"/>
    </xf>
    <xf numFmtId="0" fontId="32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43" fillId="0" borderId="17" xfId="1" applyFont="1" applyBorder="1" applyAlignment="1">
      <alignment horizontal="center" vertical="center"/>
    </xf>
    <xf numFmtId="0" fontId="43" fillId="0" borderId="45" xfId="1" applyFont="1" applyBorder="1" applyAlignment="1">
      <alignment horizontal="center" vertical="center"/>
    </xf>
    <xf numFmtId="0" fontId="43" fillId="0" borderId="30" xfId="1" applyFont="1" applyBorder="1" applyAlignment="1">
      <alignment horizontal="center" vertical="center"/>
    </xf>
    <xf numFmtId="0" fontId="43" fillId="0" borderId="16" xfId="1" applyFont="1" applyBorder="1" applyAlignment="1">
      <alignment horizontal="center" vertical="center"/>
    </xf>
    <xf numFmtId="0" fontId="43" fillId="0" borderId="14" xfId="1" applyFont="1" applyBorder="1" applyAlignment="1">
      <alignment horizontal="center" vertical="center"/>
    </xf>
    <xf numFmtId="0" fontId="43" fillId="0" borderId="32" xfId="1" applyFont="1" applyBorder="1" applyAlignment="1">
      <alignment horizontal="center" vertical="center"/>
    </xf>
    <xf numFmtId="0" fontId="43" fillId="0" borderId="57" xfId="1" applyFont="1" applyBorder="1" applyAlignment="1">
      <alignment horizontal="center" vertical="center"/>
    </xf>
    <xf numFmtId="0" fontId="43" fillId="0" borderId="90" xfId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center" vertical="center"/>
    </xf>
    <xf numFmtId="3" fontId="17" fillId="0" borderId="69" xfId="1" applyNumberFormat="1" applyFont="1" applyBorder="1" applyAlignment="1">
      <alignment horizontal="center" vertical="center"/>
    </xf>
    <xf numFmtId="3" fontId="17" fillId="0" borderId="47" xfId="1" applyNumberFormat="1" applyFont="1" applyBorder="1" applyAlignment="1">
      <alignment horizontal="center" vertical="center"/>
    </xf>
    <xf numFmtId="3" fontId="9" fillId="0" borderId="0" xfId="1" applyNumberFormat="1" applyFont="1" applyAlignment="1">
      <alignment horizontal="center" vertical="center"/>
    </xf>
    <xf numFmtId="3" fontId="89" fillId="0" borderId="0" xfId="21" applyNumberFormat="1" applyFont="1" applyAlignment="1">
      <alignment horizontal="center" vertical="center" readingOrder="2"/>
    </xf>
    <xf numFmtId="3" fontId="105" fillId="0" borderId="0" xfId="21" applyNumberFormat="1" applyFont="1" applyAlignment="1">
      <alignment horizontal="center" vertical="center" readingOrder="2"/>
    </xf>
    <xf numFmtId="0" fontId="9" fillId="0" borderId="0" xfId="1" applyFont="1" applyAlignment="1">
      <alignment horizontal="center" vertical="center"/>
    </xf>
    <xf numFmtId="3" fontId="17" fillId="0" borderId="17" xfId="1" applyNumberFormat="1" applyFont="1" applyBorder="1" applyAlignment="1">
      <alignment horizontal="center" vertical="center"/>
    </xf>
    <xf numFmtId="3" fontId="17" fillId="0" borderId="42" xfId="1" applyNumberFormat="1" applyFont="1" applyBorder="1" applyAlignment="1">
      <alignment horizontal="center" vertical="center"/>
    </xf>
    <xf numFmtId="3" fontId="17" fillId="0" borderId="35" xfId="1" applyNumberFormat="1" applyFont="1" applyBorder="1" applyAlignment="1">
      <alignment horizontal="center" vertical="center"/>
    </xf>
    <xf numFmtId="3" fontId="17" fillId="0" borderId="44" xfId="1" applyNumberFormat="1" applyFont="1" applyBorder="1" applyAlignment="1">
      <alignment horizontal="center" vertical="center"/>
    </xf>
    <xf numFmtId="3" fontId="17" fillId="0" borderId="36" xfId="1" applyNumberFormat="1" applyFont="1" applyBorder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0" fontId="43" fillId="0" borderId="1" xfId="1" applyFont="1" applyBorder="1" applyAlignment="1">
      <alignment horizontal="center" vertical="center"/>
    </xf>
    <xf numFmtId="0" fontId="43" fillId="0" borderId="36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3" fontId="12" fillId="0" borderId="0" xfId="1" applyNumberFormat="1" applyFont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17" fillId="0" borderId="43" xfId="1" applyNumberFormat="1" applyFont="1" applyBorder="1" applyAlignment="1">
      <alignment horizontal="center" vertical="center"/>
    </xf>
    <xf numFmtId="0" fontId="107" fillId="17" borderId="0" xfId="1" applyFont="1" applyFill="1" applyAlignment="1">
      <alignment vertical="center" readingOrder="2"/>
    </xf>
    <xf numFmtId="0" fontId="7" fillId="0" borderId="0" xfId="1" applyAlignment="1">
      <alignment horizontal="center" vertical="center"/>
    </xf>
    <xf numFmtId="0" fontId="107" fillId="0" borderId="0" xfId="1" applyFont="1" applyAlignment="1">
      <alignment horizontal="center" vertical="center" readingOrder="2"/>
    </xf>
    <xf numFmtId="0" fontId="7" fillId="0" borderId="0" xfId="1" applyAlignment="1">
      <alignment horizontal="right"/>
    </xf>
    <xf numFmtId="0" fontId="108" fillId="0" borderId="0" xfId="1" applyFont="1" applyAlignment="1">
      <alignment horizontal="center" vertical="center"/>
    </xf>
    <xf numFmtId="0" fontId="7" fillId="0" borderId="0" xfId="1" applyAlignment="1">
      <alignment horizontal="center" vertical="center" wrapText="1"/>
    </xf>
    <xf numFmtId="0" fontId="82" fillId="18" borderId="0" xfId="1" applyFont="1" applyFill="1" applyAlignment="1">
      <alignment horizontal="center" vertical="center" wrapText="1"/>
    </xf>
    <xf numFmtId="0" fontId="82" fillId="18" borderId="0" xfId="1" applyFont="1" applyFill="1" applyAlignment="1">
      <alignment horizontal="right" vertical="center" wrapText="1" readingOrder="2"/>
    </xf>
    <xf numFmtId="0" fontId="108" fillId="0" borderId="0" xfId="1" applyFont="1" applyAlignment="1">
      <alignment horizontal="right"/>
    </xf>
    <xf numFmtId="165" fontId="108" fillId="0" borderId="0" xfId="1" applyNumberFormat="1" applyFont="1" applyAlignment="1">
      <alignment horizontal="center" vertical="center"/>
    </xf>
    <xf numFmtId="165" fontId="7" fillId="0" borderId="0" xfId="1" applyNumberFormat="1" applyAlignment="1">
      <alignment horizontal="center" vertical="center"/>
    </xf>
    <xf numFmtId="0" fontId="109" fillId="17" borderId="0" xfId="1" applyFont="1" applyFill="1" applyAlignment="1">
      <alignment vertical="center" readingOrder="2"/>
    </xf>
    <xf numFmtId="165" fontId="7" fillId="0" borderId="0" xfId="1" applyNumberFormat="1" applyAlignment="1">
      <alignment horizontal="center" vertical="center" wrapText="1"/>
    </xf>
    <xf numFmtId="0" fontId="108" fillId="0" borderId="0" xfId="1" applyFont="1"/>
    <xf numFmtId="0" fontId="9" fillId="0" borderId="0" xfId="22" applyFont="1"/>
    <xf numFmtId="0" fontId="7" fillId="0" borderId="0" xfId="22" applyAlignment="1">
      <alignment horizontal="right"/>
    </xf>
    <xf numFmtId="0" fontId="7" fillId="0" borderId="0" xfId="22"/>
    <xf numFmtId="0" fontId="114" fillId="0" borderId="0" xfId="22" applyFont="1"/>
    <xf numFmtId="1" fontId="114" fillId="0" borderId="0" xfId="22" applyNumberFormat="1" applyFont="1"/>
    <xf numFmtId="0" fontId="6" fillId="2" borderId="0" xfId="23" applyFill="1"/>
    <xf numFmtId="0" fontId="6" fillId="0" borderId="0" xfId="23"/>
    <xf numFmtId="3" fontId="16" fillId="0" borderId="25" xfId="25" applyNumberFormat="1" applyFont="1" applyBorder="1" applyAlignment="1">
      <alignment horizontal="center" readingOrder="2"/>
    </xf>
    <xf numFmtId="3" fontId="9" fillId="2" borderId="4" xfId="1" applyNumberFormat="1" applyFont="1" applyFill="1" applyBorder="1" applyAlignment="1">
      <alignment horizontal="center" vertical="center"/>
    </xf>
    <xf numFmtId="3" fontId="17" fillId="2" borderId="25" xfId="1" applyNumberFormat="1" applyFont="1" applyFill="1" applyBorder="1" applyAlignment="1">
      <alignment horizontal="center" vertical="center" readingOrder="2"/>
    </xf>
    <xf numFmtId="3" fontId="26" fillId="2" borderId="61" xfId="25" applyNumberFormat="1" applyFont="1" applyFill="1" applyBorder="1" applyAlignment="1">
      <alignment horizontal="center" vertical="center" readingOrder="2"/>
    </xf>
    <xf numFmtId="3" fontId="17" fillId="2" borderId="61" xfId="1" applyNumberFormat="1" applyFont="1" applyFill="1" applyBorder="1" applyAlignment="1">
      <alignment horizontal="center" vertical="center" readingOrder="2"/>
    </xf>
    <xf numFmtId="3" fontId="26" fillId="2" borderId="25" xfId="25" applyNumberFormat="1" applyFont="1" applyFill="1" applyBorder="1" applyAlignment="1">
      <alignment horizontal="center" vertical="center" readingOrder="2"/>
    </xf>
    <xf numFmtId="3" fontId="17" fillId="2" borderId="31" xfId="1" applyNumberFormat="1" applyFont="1" applyFill="1" applyBorder="1" applyAlignment="1">
      <alignment horizontal="center" vertical="center" readingOrder="2"/>
    </xf>
    <xf numFmtId="3" fontId="26" fillId="2" borderId="32" xfId="25" applyNumberFormat="1" applyFont="1" applyFill="1" applyBorder="1" applyAlignment="1">
      <alignment horizontal="center" vertical="center" readingOrder="2"/>
    </xf>
    <xf numFmtId="3" fontId="116" fillId="0" borderId="0" xfId="25" applyNumberFormat="1"/>
    <xf numFmtId="3" fontId="24" fillId="0" borderId="0" xfId="22" applyNumberFormat="1" applyFont="1" applyAlignment="1">
      <alignment horizontal="center" vertical="center"/>
    </xf>
    <xf numFmtId="3" fontId="68" fillId="0" borderId="0" xfId="22" applyNumberFormat="1" applyFont="1"/>
    <xf numFmtId="0" fontId="117" fillId="0" borderId="0" xfId="22" applyFont="1"/>
    <xf numFmtId="0" fontId="22" fillId="0" borderId="0" xfId="22" applyFont="1" applyAlignment="1">
      <alignment vertical="center"/>
    </xf>
    <xf numFmtId="0" fontId="11" fillId="0" borderId="45" xfId="22" applyFont="1" applyBorder="1" applyAlignment="1">
      <alignment horizontal="center" vertical="center"/>
    </xf>
    <xf numFmtId="0" fontId="11" fillId="0" borderId="3" xfId="22" applyFont="1" applyBorder="1" applyAlignment="1">
      <alignment horizontal="center" vertical="center"/>
    </xf>
    <xf numFmtId="1" fontId="82" fillId="0" borderId="3" xfId="8" applyNumberFormat="1" applyFont="1" applyBorder="1" applyAlignment="1">
      <alignment horizontal="right" vertical="center" indent="2"/>
    </xf>
    <xf numFmtId="1" fontId="61" fillId="2" borderId="0" xfId="22" applyNumberFormat="1" applyFont="1" applyFill="1" applyAlignment="1">
      <alignment horizontal="center"/>
    </xf>
    <xf numFmtId="1" fontId="82" fillId="0" borderId="6" xfId="8" applyNumberFormat="1" applyFont="1" applyBorder="1" applyAlignment="1">
      <alignment horizontal="right" vertical="center" indent="2"/>
    </xf>
    <xf numFmtId="1" fontId="61" fillId="2" borderId="5" xfId="22" applyNumberFormat="1" applyFont="1" applyFill="1" applyBorder="1" applyAlignment="1">
      <alignment horizontal="center" vertical="center"/>
    </xf>
    <xf numFmtId="1" fontId="87" fillId="0" borderId="6" xfId="26" applyNumberFormat="1" applyFont="1" applyBorder="1" applyAlignment="1">
      <alignment horizontal="right" indent="2"/>
    </xf>
    <xf numFmtId="0" fontId="61" fillId="2" borderId="0" xfId="22" applyFont="1" applyFill="1" applyAlignment="1">
      <alignment horizontal="center"/>
    </xf>
    <xf numFmtId="1" fontId="87" fillId="0" borderId="6" xfId="8" applyNumberFormat="1" applyFont="1" applyBorder="1" applyAlignment="1">
      <alignment horizontal="right" vertical="center" indent="2"/>
    </xf>
    <xf numFmtId="1" fontId="87" fillId="0" borderId="18" xfId="8" applyNumberFormat="1" applyFont="1" applyBorder="1" applyAlignment="1">
      <alignment horizontal="right" vertical="center" indent="2"/>
    </xf>
    <xf numFmtId="0" fontId="12" fillId="0" borderId="45" xfId="22" applyFont="1" applyBorder="1" applyAlignment="1">
      <alignment horizontal="center" vertical="center"/>
    </xf>
    <xf numFmtId="1" fontId="82" fillId="0" borderId="17" xfId="22" applyNumberFormat="1" applyFont="1" applyBorder="1" applyAlignment="1">
      <alignment horizontal="right" vertical="center" indent="2"/>
    </xf>
    <xf numFmtId="1" fontId="82" fillId="0" borderId="18" xfId="22" applyNumberFormat="1" applyFont="1" applyBorder="1" applyAlignment="1">
      <alignment horizontal="right" vertical="center" indent="2"/>
    </xf>
    <xf numFmtId="0" fontId="61" fillId="0" borderId="0" xfId="22" applyFont="1"/>
    <xf numFmtId="0" fontId="40" fillId="0" borderId="0" xfId="22" applyFont="1" applyAlignment="1">
      <alignment vertical="top"/>
    </xf>
    <xf numFmtId="1" fontId="87" fillId="0" borderId="29" xfId="8" applyNumberFormat="1" applyFont="1" applyBorder="1" applyAlignment="1">
      <alignment horizontal="center" vertical="center"/>
    </xf>
    <xf numFmtId="1" fontId="6" fillId="0" borderId="0" xfId="23" applyNumberFormat="1"/>
    <xf numFmtId="0" fontId="9" fillId="2" borderId="0" xfId="22" applyFont="1" applyFill="1"/>
    <xf numFmtId="49" fontId="9" fillId="2" borderId="0" xfId="22" applyNumberFormat="1" applyFont="1" applyFill="1" applyAlignment="1">
      <alignment horizontal="center"/>
    </xf>
    <xf numFmtId="0" fontId="9" fillId="2" borderId="28" xfId="22" applyFont="1" applyFill="1" applyBorder="1" applyAlignment="1">
      <alignment horizontal="center" vertical="center"/>
    </xf>
    <xf numFmtId="0" fontId="9" fillId="2" borderId="49" xfId="22" applyFont="1" applyFill="1" applyBorder="1" applyAlignment="1">
      <alignment horizontal="center" vertical="center"/>
    </xf>
    <xf numFmtId="0" fontId="75" fillId="2" borderId="6" xfId="22" applyFont="1" applyFill="1" applyBorder="1" applyAlignment="1">
      <alignment horizontal="center" vertical="justify"/>
    </xf>
    <xf numFmtId="0" fontId="75" fillId="2" borderId="78" xfId="22" applyFont="1" applyFill="1" applyBorder="1" applyAlignment="1">
      <alignment horizontal="center" vertical="center"/>
    </xf>
    <xf numFmtId="0" fontId="9" fillId="2" borderId="69" xfId="22" applyFont="1" applyFill="1" applyBorder="1" applyAlignment="1">
      <alignment horizontal="center" vertical="center"/>
    </xf>
    <xf numFmtId="0" fontId="40" fillId="2" borderId="65" xfId="22" applyFont="1" applyFill="1" applyBorder="1" applyAlignment="1">
      <alignment horizontal="right" vertical="center"/>
    </xf>
    <xf numFmtId="0" fontId="75" fillId="2" borderId="76" xfId="22" applyFont="1" applyFill="1" applyBorder="1" applyAlignment="1">
      <alignment horizontal="center" vertical="justify"/>
    </xf>
    <xf numFmtId="0" fontId="66" fillId="2" borderId="95" xfId="22" applyFont="1" applyFill="1" applyBorder="1" applyAlignment="1">
      <alignment horizontal="center" vertical="center"/>
    </xf>
    <xf numFmtId="0" fontId="12" fillId="0" borderId="0" xfId="22" applyFont="1" applyAlignment="1">
      <alignment horizontal="center" vertical="center"/>
    </xf>
    <xf numFmtId="0" fontId="12" fillId="2" borderId="61" xfId="22" applyFont="1" applyFill="1" applyBorder="1" applyAlignment="1">
      <alignment horizontal="center" vertical="center"/>
    </xf>
    <xf numFmtId="0" fontId="9" fillId="2" borderId="61" xfId="22" applyFont="1" applyFill="1" applyBorder="1" applyAlignment="1">
      <alignment horizontal="center" vertical="center"/>
    </xf>
    <xf numFmtId="0" fontId="9" fillId="2" borderId="78" xfId="22" applyFont="1" applyFill="1" applyBorder="1" applyAlignment="1">
      <alignment horizontal="center" vertical="center"/>
    </xf>
    <xf numFmtId="0" fontId="75" fillId="2" borderId="0" xfId="22" applyFont="1" applyFill="1" applyAlignment="1">
      <alignment horizontal="right"/>
    </xf>
    <xf numFmtId="0" fontId="75" fillId="2" borderId="61" xfId="22" applyFont="1" applyFill="1" applyBorder="1" applyAlignment="1">
      <alignment horizontal="right" vertical="center"/>
    </xf>
    <xf numFmtId="0" fontId="75" fillId="2" borderId="49" xfId="22" applyFont="1" applyFill="1" applyBorder="1" applyAlignment="1">
      <alignment horizontal="right" vertical="center"/>
    </xf>
    <xf numFmtId="0" fontId="9" fillId="2" borderId="28" xfId="22" applyFont="1" applyFill="1" applyBorder="1" applyAlignment="1">
      <alignment horizontal="right" vertical="center"/>
    </xf>
    <xf numFmtId="0" fontId="9" fillId="2" borderId="78" xfId="22" applyFont="1" applyFill="1" applyBorder="1" applyAlignment="1">
      <alignment horizontal="right" vertical="center"/>
    </xf>
    <xf numFmtId="175" fontId="9" fillId="0" borderId="0" xfId="3" applyNumberFormat="1" applyFont="1" applyFill="1"/>
    <xf numFmtId="0" fontId="66" fillId="2" borderId="20" xfId="22" applyFont="1" applyFill="1" applyBorder="1" applyAlignment="1">
      <alignment horizontal="center" vertical="center"/>
    </xf>
    <xf numFmtId="0" fontId="66" fillId="2" borderId="1" xfId="22" applyFont="1" applyFill="1" applyBorder="1" applyAlignment="1">
      <alignment horizontal="center" vertical="center"/>
    </xf>
    <xf numFmtId="0" fontId="9" fillId="2" borderId="20" xfId="22" applyFont="1" applyFill="1" applyBorder="1" applyAlignment="1">
      <alignment horizontal="right"/>
    </xf>
    <xf numFmtId="0" fontId="7" fillId="2" borderId="0" xfId="22" applyFill="1"/>
    <xf numFmtId="0" fontId="9" fillId="0" borderId="0" xfId="110" applyFont="1"/>
    <xf numFmtId="0" fontId="17" fillId="0" borderId="92" xfId="110" applyFont="1" applyBorder="1" applyAlignment="1">
      <alignment horizontal="center" vertical="center"/>
    </xf>
    <xf numFmtId="0" fontId="26" fillId="2" borderId="92" xfId="110" applyFont="1" applyFill="1" applyBorder="1" applyAlignment="1">
      <alignment horizontal="center" vertical="center" readingOrder="2"/>
    </xf>
    <xf numFmtId="0" fontId="26" fillId="2" borderId="92" xfId="110" applyFont="1" applyFill="1" applyBorder="1" applyAlignment="1">
      <alignment horizontal="center" readingOrder="2"/>
    </xf>
    <xf numFmtId="0" fontId="26" fillId="0" borderId="92" xfId="23" applyFont="1" applyBorder="1" applyAlignment="1">
      <alignment horizontal="center" vertical="center" readingOrder="2"/>
    </xf>
    <xf numFmtId="0" fontId="134" fillId="0" borderId="92" xfId="23" applyFont="1" applyBorder="1" applyAlignment="1">
      <alignment horizontal="center" vertical="center" readingOrder="2"/>
    </xf>
    <xf numFmtId="0" fontId="12" fillId="0" borderId="42" xfId="110" applyFont="1" applyBorder="1" applyAlignment="1">
      <alignment horizontal="center" vertical="center"/>
    </xf>
    <xf numFmtId="0" fontId="38" fillId="0" borderId="0" xfId="110" applyFont="1" applyAlignment="1">
      <alignment vertical="center"/>
    </xf>
    <xf numFmtId="0" fontId="135" fillId="0" borderId="0" xfId="110" applyFont="1"/>
    <xf numFmtId="0" fontId="12" fillId="0" borderId="36" xfId="110" applyFont="1" applyBorder="1" applyAlignment="1">
      <alignment horizontal="center" vertical="center"/>
    </xf>
    <xf numFmtId="0" fontId="12" fillId="0" borderId="45" xfId="110" applyFont="1" applyBorder="1" applyAlignment="1">
      <alignment horizontal="center" vertical="center"/>
    </xf>
    <xf numFmtId="0" fontId="40" fillId="0" borderId="17" xfId="110" applyFont="1" applyBorder="1" applyAlignment="1">
      <alignment horizontal="center" vertical="center" wrapText="1"/>
    </xf>
    <xf numFmtId="0" fontId="32" fillId="0" borderId="57" xfId="110" applyFont="1" applyBorder="1" applyAlignment="1">
      <alignment horizontal="center" vertical="center"/>
    </xf>
    <xf numFmtId="0" fontId="43" fillId="0" borderId="21" xfId="110" applyFont="1" applyBorder="1" applyAlignment="1">
      <alignment horizontal="center" vertical="center"/>
    </xf>
    <xf numFmtId="0" fontId="32" fillId="0" borderId="39" xfId="110" applyFont="1" applyBorder="1" applyAlignment="1">
      <alignment horizontal="center" vertical="center"/>
    </xf>
    <xf numFmtId="0" fontId="24" fillId="0" borderId="45" xfId="8" applyFont="1" applyBorder="1" applyAlignment="1">
      <alignment horizontal="center" vertical="center"/>
    </xf>
    <xf numFmtId="0" fontId="24" fillId="0" borderId="68" xfId="8" applyFont="1" applyBorder="1" applyAlignment="1">
      <alignment horizontal="center" vertical="center" textRotation="90"/>
    </xf>
    <xf numFmtId="0" fontId="24" fillId="0" borderId="48" xfId="8" applyFont="1" applyBorder="1" applyAlignment="1">
      <alignment horizontal="center" vertical="center" textRotation="90"/>
    </xf>
    <xf numFmtId="0" fontId="24" fillId="0" borderId="41" xfId="8" applyFont="1" applyBorder="1" applyAlignment="1">
      <alignment horizontal="center" vertical="center" textRotation="90" wrapText="1"/>
    </xf>
    <xf numFmtId="0" fontId="24" fillId="0" borderId="41" xfId="8" applyFont="1" applyBorder="1" applyAlignment="1">
      <alignment horizontal="center" vertical="center" textRotation="90"/>
    </xf>
    <xf numFmtId="0" fontId="24" fillId="0" borderId="76" xfId="8" applyFont="1" applyBorder="1" applyAlignment="1">
      <alignment horizontal="center" vertical="center"/>
    </xf>
    <xf numFmtId="3" fontId="25" fillId="0" borderId="92" xfId="8" applyNumberFormat="1" applyFont="1" applyBorder="1" applyAlignment="1">
      <alignment horizontal="center" vertical="center"/>
    </xf>
    <xf numFmtId="3" fontId="137" fillId="0" borderId="92" xfId="8" applyNumberFormat="1" applyFont="1" applyBorder="1" applyAlignment="1">
      <alignment horizontal="center" vertical="center" shrinkToFit="1"/>
    </xf>
    <xf numFmtId="3" fontId="25" fillId="0" borderId="76" xfId="8" applyNumberFormat="1" applyFont="1" applyBorder="1" applyAlignment="1">
      <alignment horizontal="center" vertical="center"/>
    </xf>
    <xf numFmtId="0" fontId="24" fillId="0" borderId="12" xfId="8" applyFont="1" applyBorder="1" applyAlignment="1">
      <alignment horizontal="center" vertical="center"/>
    </xf>
    <xf numFmtId="0" fontId="24" fillId="0" borderId="33" xfId="8" applyFont="1" applyBorder="1" applyAlignment="1">
      <alignment horizontal="center" vertical="center"/>
    </xf>
    <xf numFmtId="3" fontId="25" fillId="0" borderId="68" xfId="8" applyNumberFormat="1" applyFont="1" applyBorder="1" applyAlignment="1">
      <alignment horizontal="center" vertical="center"/>
    </xf>
    <xf numFmtId="3" fontId="25" fillId="0" borderId="45" xfId="8" applyNumberFormat="1" applyFont="1" applyBorder="1" applyAlignment="1">
      <alignment horizontal="center" vertical="center"/>
    </xf>
    <xf numFmtId="3" fontId="9" fillId="0" borderId="0" xfId="8" applyNumberFormat="1" applyFont="1" applyAlignment="1">
      <alignment vertical="center"/>
    </xf>
    <xf numFmtId="0" fontId="11" fillId="0" borderId="55" xfId="8" applyFont="1" applyBorder="1" applyAlignment="1">
      <alignment horizontal="center" vertical="center"/>
    </xf>
    <xf numFmtId="3" fontId="11" fillId="0" borderId="3" xfId="8" applyNumberFormat="1" applyFont="1" applyBorder="1"/>
    <xf numFmtId="3" fontId="32" fillId="0" borderId="3" xfId="8" applyNumberFormat="1" applyFont="1" applyBorder="1" applyAlignment="1">
      <alignment horizontal="center"/>
    </xf>
    <xf numFmtId="3" fontId="32" fillId="0" borderId="5" xfId="8" applyNumberFormat="1" applyFont="1" applyBorder="1" applyAlignment="1">
      <alignment horizontal="center" vertical="center"/>
    </xf>
    <xf numFmtId="9" fontId="32" fillId="0" borderId="47" xfId="8" applyNumberFormat="1" applyFont="1" applyBorder="1" applyAlignment="1">
      <alignment horizontal="center" vertical="center"/>
    </xf>
    <xf numFmtId="3" fontId="11" fillId="0" borderId="6" xfId="8" applyNumberFormat="1" applyFont="1" applyBorder="1"/>
    <xf numFmtId="183" fontId="9" fillId="0" borderId="0" xfId="111" applyFont="1" applyFill="1"/>
    <xf numFmtId="0" fontId="6" fillId="0" borderId="0" xfId="112"/>
    <xf numFmtId="3" fontId="32" fillId="0" borderId="6" xfId="8" applyNumberFormat="1" applyFont="1" applyBorder="1" applyAlignment="1">
      <alignment horizontal="center"/>
    </xf>
    <xf numFmtId="9" fontId="32" fillId="0" borderId="69" xfId="8" applyNumberFormat="1" applyFont="1" applyBorder="1" applyAlignment="1">
      <alignment horizontal="center" vertical="center"/>
    </xf>
    <xf numFmtId="0" fontId="43" fillId="0" borderId="6" xfId="8" applyFont="1" applyBorder="1" applyAlignment="1">
      <alignment horizontal="center" vertical="center"/>
    </xf>
    <xf numFmtId="3" fontId="32" fillId="0" borderId="41" xfId="8" applyNumberFormat="1" applyFont="1" applyBorder="1" applyAlignment="1">
      <alignment horizontal="center" vertical="center"/>
    </xf>
    <xf numFmtId="3" fontId="32" fillId="0" borderId="42" xfId="8" applyNumberFormat="1" applyFont="1" applyBorder="1" applyAlignment="1">
      <alignment horizontal="center" vertical="center"/>
    </xf>
    <xf numFmtId="9" fontId="32" fillId="0" borderId="36" xfId="8" applyNumberFormat="1" applyFont="1" applyBorder="1" applyAlignment="1">
      <alignment horizontal="center" vertical="center"/>
    </xf>
    <xf numFmtId="0" fontId="40" fillId="0" borderId="0" xfId="8" applyFont="1" applyAlignment="1">
      <alignment vertical="center"/>
    </xf>
    <xf numFmtId="9" fontId="9" fillId="0" borderId="0" xfId="8" applyNumberFormat="1" applyFont="1"/>
    <xf numFmtId="183" fontId="9" fillId="0" borderId="0" xfId="8" applyNumberFormat="1" applyFont="1"/>
    <xf numFmtId="9" fontId="9" fillId="0" borderId="0" xfId="3" applyFont="1" applyFill="1"/>
    <xf numFmtId="0" fontId="40" fillId="0" borderId="0" xfId="8" applyFont="1" applyAlignment="1">
      <alignment horizontal="right" vertical="center"/>
    </xf>
    <xf numFmtId="3" fontId="35" fillId="0" borderId="92" xfId="8" applyNumberFormat="1" applyFont="1" applyBorder="1" applyAlignment="1">
      <alignment horizontal="center" vertical="center" shrinkToFit="1"/>
    </xf>
    <xf numFmtId="3" fontId="32" fillId="0" borderId="76" xfId="8" applyNumberFormat="1" applyFont="1" applyBorder="1" applyAlignment="1">
      <alignment horizontal="center" vertical="center" shrinkToFit="1"/>
    </xf>
    <xf numFmtId="3" fontId="32" fillId="0" borderId="68" xfId="8" applyNumberFormat="1" applyFont="1" applyBorder="1" applyAlignment="1">
      <alignment horizontal="center" vertical="center" shrinkToFit="1"/>
    </xf>
    <xf numFmtId="3" fontId="32" fillId="0" borderId="43" xfId="8" applyNumberFormat="1" applyFont="1" applyBorder="1" applyAlignment="1">
      <alignment horizontal="center" vertical="center" shrinkToFit="1"/>
    </xf>
    <xf numFmtId="3" fontId="32" fillId="0" borderId="45" xfId="8" applyNumberFormat="1" applyFont="1" applyBorder="1" applyAlignment="1">
      <alignment horizontal="center" vertical="center" shrinkToFit="1"/>
    </xf>
    <xf numFmtId="3" fontId="32" fillId="0" borderId="0" xfId="8" applyNumberFormat="1" applyFont="1"/>
    <xf numFmtId="3" fontId="12" fillId="0" borderId="47" xfId="8" applyNumberFormat="1" applyFont="1" applyBorder="1" applyAlignment="1">
      <alignment horizontal="right" vertical="center"/>
    </xf>
    <xf numFmtId="0" fontId="11" fillId="0" borderId="56" xfId="8" applyFont="1" applyBorder="1" applyAlignment="1">
      <alignment horizontal="center" vertical="center"/>
    </xf>
    <xf numFmtId="3" fontId="12" fillId="0" borderId="69" xfId="8" applyNumberFormat="1" applyFont="1" applyBorder="1" applyAlignment="1">
      <alignment horizontal="right" vertical="center"/>
    </xf>
    <xf numFmtId="0" fontId="12" fillId="0" borderId="3" xfId="8" applyFont="1" applyBorder="1" applyAlignment="1">
      <alignment horizontal="center" vertical="center"/>
    </xf>
    <xf numFmtId="3" fontId="32" fillId="0" borderId="0" xfId="8" applyNumberFormat="1" applyFont="1" applyAlignment="1">
      <alignment horizontal="center" vertical="center"/>
    </xf>
    <xf numFmtId="174" fontId="9" fillId="0" borderId="0" xfId="8" applyNumberFormat="1" applyFont="1"/>
    <xf numFmtId="170" fontId="9" fillId="0" borderId="0" xfId="8" applyNumberFormat="1" applyFont="1"/>
    <xf numFmtId="0" fontId="12" fillId="0" borderId="0" xfId="8" applyFont="1" applyAlignment="1">
      <alignment horizontal="center" vertical="center"/>
    </xf>
    <xf numFmtId="0" fontId="42" fillId="0" borderId="0" xfId="8" applyFont="1" applyAlignment="1">
      <alignment horizontal="center" vertical="center"/>
    </xf>
    <xf numFmtId="0" fontId="11" fillId="0" borderId="45" xfId="8" applyFont="1" applyBorder="1" applyAlignment="1">
      <alignment horizontal="center" vertical="center"/>
    </xf>
    <xf numFmtId="0" fontId="11" fillId="0" borderId="68" xfId="8" applyFont="1" applyBorder="1" applyAlignment="1">
      <alignment horizontal="center" vertical="center"/>
    </xf>
    <xf numFmtId="0" fontId="11" fillId="0" borderId="48" xfId="8" applyFont="1" applyBorder="1" applyAlignment="1">
      <alignment horizontal="center" vertical="center"/>
    </xf>
    <xf numFmtId="0" fontId="11" fillId="0" borderId="48" xfId="8" applyFont="1" applyBorder="1" applyAlignment="1">
      <alignment horizontal="center" vertical="center" wrapText="1"/>
    </xf>
    <xf numFmtId="0" fontId="11" fillId="0" borderId="43" xfId="8" applyFont="1" applyBorder="1" applyAlignment="1">
      <alignment horizontal="center" vertical="center"/>
    </xf>
    <xf numFmtId="0" fontId="11" fillId="0" borderId="76" xfId="8" applyFont="1" applyBorder="1" applyAlignment="1">
      <alignment horizontal="center" vertical="center"/>
    </xf>
    <xf numFmtId="3" fontId="32" fillId="0" borderId="92" xfId="8" applyNumberFormat="1" applyFont="1" applyBorder="1" applyAlignment="1">
      <alignment horizontal="center" vertical="center"/>
    </xf>
    <xf numFmtId="3" fontId="35" fillId="0" borderId="95" xfId="8" applyNumberFormat="1" applyFont="1" applyBorder="1" applyAlignment="1">
      <alignment horizontal="center" vertical="center" shrinkToFit="1"/>
    </xf>
    <xf numFmtId="3" fontId="32" fillId="0" borderId="76" xfId="8" applyNumberFormat="1" applyFont="1" applyBorder="1" applyAlignment="1">
      <alignment horizontal="center" vertical="center"/>
    </xf>
    <xf numFmtId="0" fontId="11" fillId="0" borderId="12" xfId="8" applyFont="1" applyBorder="1" applyAlignment="1">
      <alignment horizontal="center" vertical="center"/>
    </xf>
    <xf numFmtId="0" fontId="11" fillId="0" borderId="33" xfId="8" applyFont="1" applyBorder="1" applyAlignment="1">
      <alignment horizontal="center" vertical="center"/>
    </xf>
    <xf numFmtId="3" fontId="32" fillId="0" borderId="68" xfId="8" applyNumberFormat="1" applyFont="1" applyBorder="1" applyAlignment="1">
      <alignment horizontal="center" vertical="center"/>
    </xf>
    <xf numFmtId="3" fontId="32" fillId="0" borderId="45" xfId="8" applyNumberFormat="1" applyFont="1" applyBorder="1" applyAlignment="1">
      <alignment horizontal="center" vertical="center"/>
    </xf>
    <xf numFmtId="3" fontId="32" fillId="0" borderId="43" xfId="8" applyNumberFormat="1" applyFont="1" applyBorder="1" applyAlignment="1">
      <alignment horizontal="center" vertical="center"/>
    </xf>
    <xf numFmtId="0" fontId="11" fillId="18" borderId="45" xfId="8" applyFont="1" applyFill="1" applyBorder="1" applyAlignment="1">
      <alignment horizontal="center" vertical="center" wrapText="1"/>
    </xf>
    <xf numFmtId="0" fontId="11" fillId="18" borderId="68" xfId="8" applyFont="1" applyFill="1" applyBorder="1" applyAlignment="1">
      <alignment horizontal="center" vertical="center"/>
    </xf>
    <xf numFmtId="0" fontId="11" fillId="18" borderId="48" xfId="8" applyFont="1" applyFill="1" applyBorder="1" applyAlignment="1">
      <alignment horizontal="center" vertical="center" wrapText="1"/>
    </xf>
    <xf numFmtId="0" fontId="11" fillId="18" borderId="41" xfId="8" applyFont="1" applyFill="1" applyBorder="1" applyAlignment="1">
      <alignment horizontal="center" vertical="center" wrapText="1"/>
    </xf>
    <xf numFmtId="0" fontId="11" fillId="18" borderId="45" xfId="8" applyFont="1" applyFill="1" applyBorder="1" applyAlignment="1">
      <alignment horizontal="center" vertical="center"/>
    </xf>
    <xf numFmtId="3" fontId="82" fillId="0" borderId="72" xfId="8" applyNumberFormat="1" applyFont="1" applyBorder="1" applyAlignment="1">
      <alignment horizontal="center" vertical="center"/>
    </xf>
    <xf numFmtId="3" fontId="82" fillId="0" borderId="49" xfId="8" applyNumberFormat="1" applyFont="1" applyBorder="1" applyAlignment="1">
      <alignment horizontal="center" vertical="center"/>
    </xf>
    <xf numFmtId="3" fontId="82" fillId="0" borderId="50" xfId="8" applyNumberFormat="1" applyFont="1" applyBorder="1" applyAlignment="1">
      <alignment horizontal="center" vertical="center"/>
    </xf>
    <xf numFmtId="3" fontId="82" fillId="0" borderId="76" xfId="8" applyNumberFormat="1" applyFont="1" applyBorder="1" applyAlignment="1">
      <alignment horizontal="center" vertical="center"/>
    </xf>
    <xf numFmtId="3" fontId="82" fillId="0" borderId="27" xfId="8" applyNumberFormat="1" applyFont="1" applyBorder="1" applyAlignment="1">
      <alignment horizontal="center" vertical="center"/>
    </xf>
    <xf numFmtId="3" fontId="82" fillId="0" borderId="92" xfId="8" applyNumberFormat="1" applyFont="1" applyBorder="1" applyAlignment="1">
      <alignment horizontal="center" vertical="center"/>
    </xf>
    <xf numFmtId="3" fontId="82" fillId="0" borderId="93" xfId="8" applyNumberFormat="1" applyFont="1" applyBorder="1" applyAlignment="1">
      <alignment horizontal="center" vertical="center"/>
    </xf>
    <xf numFmtId="3" fontId="82" fillId="0" borderId="12" xfId="8" applyNumberFormat="1" applyFont="1" applyBorder="1" applyAlignment="1">
      <alignment horizontal="center" vertical="center"/>
    </xf>
    <xf numFmtId="1" fontId="82" fillId="0" borderId="27" xfId="8" applyNumberFormat="1" applyFont="1" applyBorder="1" applyAlignment="1">
      <alignment horizontal="center" vertical="center"/>
    </xf>
    <xf numFmtId="3" fontId="82" fillId="0" borderId="53" xfId="8" applyNumberFormat="1" applyFont="1" applyBorder="1" applyAlignment="1">
      <alignment horizontal="center" vertical="center"/>
    </xf>
    <xf numFmtId="3" fontId="82" fillId="0" borderId="28" xfId="8" applyNumberFormat="1" applyFont="1" applyBorder="1" applyAlignment="1">
      <alignment horizontal="center" vertical="center"/>
    </xf>
    <xf numFmtId="3" fontId="82" fillId="0" borderId="56" xfId="8" applyNumberFormat="1" applyFont="1" applyBorder="1" applyAlignment="1">
      <alignment horizontal="center" vertical="center"/>
    </xf>
    <xf numFmtId="3" fontId="82" fillId="0" borderId="33" xfId="8" applyNumberFormat="1" applyFont="1" applyBorder="1" applyAlignment="1">
      <alignment horizontal="center" vertical="center"/>
    </xf>
    <xf numFmtId="3" fontId="82" fillId="18" borderId="68" xfId="8" applyNumberFormat="1" applyFont="1" applyFill="1" applyBorder="1" applyAlignment="1">
      <alignment horizontal="center" vertical="center"/>
    </xf>
    <xf numFmtId="3" fontId="82" fillId="18" borderId="48" xfId="8" applyNumberFormat="1" applyFont="1" applyFill="1" applyBorder="1" applyAlignment="1">
      <alignment horizontal="center" vertical="center"/>
    </xf>
    <xf numFmtId="3" fontId="82" fillId="18" borderId="41" xfId="8" applyNumberFormat="1" applyFont="1" applyFill="1" applyBorder="1" applyAlignment="1">
      <alignment horizontal="center" vertical="center"/>
    </xf>
    <xf numFmtId="3" fontId="82" fillId="18" borderId="45" xfId="8" applyNumberFormat="1" applyFont="1" applyFill="1" applyBorder="1" applyAlignment="1">
      <alignment horizontal="center" vertical="center"/>
    </xf>
    <xf numFmtId="0" fontId="9" fillId="0" borderId="0" xfId="8" applyFont="1" applyAlignment="1">
      <alignment horizontal="right" vertical="center"/>
    </xf>
    <xf numFmtId="3" fontId="21" fillId="0" borderId="0" xfId="8" applyNumberFormat="1" applyFont="1" applyAlignment="1">
      <alignment horizontal="right" vertical="center"/>
    </xf>
    <xf numFmtId="0" fontId="11" fillId="18" borderId="43" xfId="8" applyFont="1" applyFill="1" applyBorder="1" applyAlignment="1">
      <alignment horizontal="center" vertical="center"/>
    </xf>
    <xf numFmtId="0" fontId="11" fillId="18" borderId="44" xfId="8" applyFont="1" applyFill="1" applyBorder="1" applyAlignment="1">
      <alignment horizontal="center" vertical="center" wrapText="1"/>
    </xf>
    <xf numFmtId="0" fontId="11" fillId="18" borderId="44" xfId="8" applyFont="1" applyFill="1" applyBorder="1" applyAlignment="1">
      <alignment horizontal="center" vertical="center"/>
    </xf>
    <xf numFmtId="3" fontId="82" fillId="0" borderId="95" xfId="8" applyNumberFormat="1" applyFont="1" applyBorder="1" applyAlignment="1">
      <alignment horizontal="center" vertical="center"/>
    </xf>
    <xf numFmtId="3" fontId="82" fillId="0" borderId="66" xfId="8" applyNumberFormat="1" applyFont="1" applyBorder="1" applyAlignment="1">
      <alignment horizontal="center" vertical="center"/>
    </xf>
    <xf numFmtId="3" fontId="82" fillId="0" borderId="0" xfId="8" applyNumberFormat="1" applyFont="1" applyAlignment="1">
      <alignment horizontal="center" vertical="center"/>
    </xf>
    <xf numFmtId="3" fontId="82" fillId="0" borderId="6" xfId="8" applyNumberFormat="1" applyFont="1" applyBorder="1" applyAlignment="1">
      <alignment horizontal="center" vertical="center"/>
    </xf>
    <xf numFmtId="3" fontId="82" fillId="0" borderId="7" xfId="8" applyNumberFormat="1" applyFont="1" applyBorder="1" applyAlignment="1">
      <alignment horizontal="center" vertical="center"/>
    </xf>
    <xf numFmtId="0" fontId="11" fillId="0" borderId="14" xfId="8" applyFont="1" applyBorder="1" applyAlignment="1">
      <alignment horizontal="center" vertical="center"/>
    </xf>
    <xf numFmtId="3" fontId="82" fillId="0" borderId="15" xfId="8" applyNumberFormat="1" applyFont="1" applyBorder="1" applyAlignment="1">
      <alignment horizontal="center" vertical="center"/>
    </xf>
    <xf numFmtId="0" fontId="11" fillId="18" borderId="42" xfId="8" applyFont="1" applyFill="1" applyBorder="1" applyAlignment="1">
      <alignment horizontal="center" vertical="center"/>
    </xf>
    <xf numFmtId="3" fontId="82" fillId="18" borderId="42" xfId="8" applyNumberFormat="1" applyFont="1" applyFill="1" applyBorder="1" applyAlignment="1">
      <alignment horizontal="center" vertical="center"/>
    </xf>
    <xf numFmtId="3" fontId="35" fillId="0" borderId="0" xfId="113" applyNumberFormat="1" applyFont="1" applyAlignment="1">
      <alignment horizontal="center" vertical="center" readingOrder="2"/>
    </xf>
    <xf numFmtId="0" fontId="27" fillId="0" borderId="0" xfId="113" applyAlignment="1">
      <alignment readingOrder="2"/>
    </xf>
    <xf numFmtId="3" fontId="16" fillId="0" borderId="0" xfId="113" applyNumberFormat="1" applyFont="1" applyAlignment="1">
      <alignment horizontal="right" vertical="center" readingOrder="2"/>
    </xf>
    <xf numFmtId="3" fontId="18" fillId="4" borderId="112" xfId="113" applyNumberFormat="1" applyFont="1" applyFill="1" applyBorder="1" applyAlignment="1">
      <alignment horizontal="center" vertical="center" wrapText="1" readingOrder="2"/>
    </xf>
    <xf numFmtId="3" fontId="18" fillId="4" borderId="113" xfId="113" applyNumberFormat="1" applyFont="1" applyFill="1" applyBorder="1" applyAlignment="1">
      <alignment horizontal="center" vertical="center" readingOrder="2"/>
    </xf>
    <xf numFmtId="3" fontId="18" fillId="4" borderId="114" xfId="113" applyNumberFormat="1" applyFont="1" applyFill="1" applyBorder="1" applyAlignment="1">
      <alignment horizontal="center" vertical="center" readingOrder="2"/>
    </xf>
    <xf numFmtId="3" fontId="18" fillId="4" borderId="114" xfId="113" applyNumberFormat="1" applyFont="1" applyFill="1" applyBorder="1" applyAlignment="1">
      <alignment horizontal="center" vertical="center" wrapText="1" readingOrder="2"/>
    </xf>
    <xf numFmtId="3" fontId="18" fillId="4" borderId="115" xfId="113" applyNumberFormat="1" applyFont="1" applyFill="1" applyBorder="1" applyAlignment="1">
      <alignment horizontal="center" vertical="center" readingOrder="2"/>
    </xf>
    <xf numFmtId="3" fontId="18" fillId="4" borderId="116" xfId="113" applyNumberFormat="1" applyFont="1" applyFill="1" applyBorder="1" applyAlignment="1">
      <alignment horizontal="center" vertical="center" readingOrder="2"/>
    </xf>
    <xf numFmtId="3" fontId="35" fillId="0" borderId="117" xfId="113" applyNumberFormat="1" applyFont="1" applyBorder="1" applyAlignment="1">
      <alignment horizontal="center" vertical="center" readingOrder="2"/>
    </xf>
    <xf numFmtId="3" fontId="35" fillId="0" borderId="72" xfId="113" applyNumberFormat="1" applyFont="1" applyBorder="1" applyAlignment="1">
      <alignment horizontal="center" vertical="center"/>
    </xf>
    <xf numFmtId="3" fontId="35" fillId="0" borderId="95" xfId="113" applyNumberFormat="1" applyFont="1" applyBorder="1" applyAlignment="1">
      <alignment horizontal="center" vertical="center"/>
    </xf>
    <xf numFmtId="3" fontId="18" fillId="18" borderId="117" xfId="113" applyNumberFormat="1" applyFont="1" applyFill="1" applyBorder="1" applyAlignment="1">
      <alignment horizontal="center" vertical="center" readingOrder="2"/>
    </xf>
    <xf numFmtId="3" fontId="35" fillId="0" borderId="118" xfId="113" applyNumberFormat="1" applyFont="1" applyBorder="1" applyAlignment="1">
      <alignment horizontal="center" vertical="center" readingOrder="2"/>
    </xf>
    <xf numFmtId="3" fontId="18" fillId="18" borderId="118" xfId="113" applyNumberFormat="1" applyFont="1" applyFill="1" applyBorder="1" applyAlignment="1">
      <alignment horizontal="center" vertical="center" readingOrder="2"/>
    </xf>
    <xf numFmtId="3" fontId="35" fillId="0" borderId="119" xfId="113" applyNumberFormat="1" applyFont="1" applyBorder="1" applyAlignment="1">
      <alignment horizontal="center" vertical="center" readingOrder="2"/>
    </xf>
    <xf numFmtId="3" fontId="35" fillId="0" borderId="79" xfId="113" applyNumberFormat="1" applyFont="1" applyBorder="1" applyAlignment="1">
      <alignment horizontal="center" vertical="center"/>
    </xf>
    <xf numFmtId="3" fontId="35" fillId="0" borderId="0" xfId="113" applyNumberFormat="1" applyFont="1" applyAlignment="1">
      <alignment horizontal="center" vertical="center"/>
    </xf>
    <xf numFmtId="3" fontId="18" fillId="18" borderId="119" xfId="113" applyNumberFormat="1" applyFont="1" applyFill="1" applyBorder="1" applyAlignment="1">
      <alignment horizontal="center" vertical="center" readingOrder="2"/>
    </xf>
    <xf numFmtId="0" fontId="32" fillId="0" borderId="0" xfId="8" applyFont="1" applyAlignment="1">
      <alignment vertical="center"/>
    </xf>
    <xf numFmtId="0" fontId="141" fillId="0" borderId="0" xfId="113" applyFont="1"/>
    <xf numFmtId="0" fontId="27" fillId="0" borderId="0" xfId="113"/>
    <xf numFmtId="3" fontId="18" fillId="4" borderId="120" xfId="114" applyNumberFormat="1" applyFont="1" applyFill="1" applyBorder="1" applyAlignment="1">
      <alignment horizontal="center" vertical="center" readingOrder="2"/>
    </xf>
    <xf numFmtId="3" fontId="141" fillId="0" borderId="0" xfId="113" applyNumberFormat="1" applyFont="1"/>
    <xf numFmtId="3" fontId="18" fillId="4" borderId="117" xfId="113" applyNumberFormat="1" applyFont="1" applyFill="1" applyBorder="1" applyAlignment="1">
      <alignment horizontal="center" vertical="center" readingOrder="2"/>
    </xf>
    <xf numFmtId="3" fontId="35" fillId="0" borderId="72" xfId="113" applyNumberFormat="1" applyFont="1" applyBorder="1" applyAlignment="1">
      <alignment horizontal="center" vertical="center" readingOrder="2"/>
    </xf>
    <xf numFmtId="3" fontId="35" fillId="0" borderId="49" xfId="113" applyNumberFormat="1" applyFont="1" applyBorder="1" applyAlignment="1">
      <alignment horizontal="center" vertical="center" readingOrder="2"/>
    </xf>
    <xf numFmtId="9" fontId="35" fillId="0" borderId="121" xfId="115" applyFont="1" applyFill="1" applyBorder="1" applyAlignment="1">
      <alignment horizontal="center" vertical="center" readingOrder="2"/>
    </xf>
    <xf numFmtId="183" fontId="141" fillId="0" borderId="0" xfId="111" applyFont="1"/>
    <xf numFmtId="3" fontId="18" fillId="4" borderId="118" xfId="113" applyNumberFormat="1" applyFont="1" applyFill="1" applyBorder="1" applyAlignment="1">
      <alignment horizontal="center" vertical="center" readingOrder="2"/>
    </xf>
    <xf numFmtId="3" fontId="35" fillId="0" borderId="27" xfId="113" applyNumberFormat="1" applyFont="1" applyBorder="1" applyAlignment="1">
      <alignment horizontal="center" vertical="center" readingOrder="2"/>
    </xf>
    <xf numFmtId="3" fontId="35" fillId="0" borderId="92" xfId="113" applyNumberFormat="1" applyFont="1" applyBorder="1" applyAlignment="1">
      <alignment horizontal="center" vertical="center" readingOrder="2"/>
    </xf>
    <xf numFmtId="9" fontId="35" fillId="0" borderId="122" xfId="115" applyFont="1" applyFill="1" applyBorder="1" applyAlignment="1">
      <alignment horizontal="center" vertical="center" readingOrder="2"/>
    </xf>
    <xf numFmtId="3" fontId="18" fillId="4" borderId="119" xfId="113" applyNumberFormat="1" applyFont="1" applyFill="1" applyBorder="1" applyAlignment="1">
      <alignment horizontal="center" vertical="center" readingOrder="2"/>
    </xf>
    <xf numFmtId="3" fontId="35" fillId="0" borderId="53" xfId="113" applyNumberFormat="1" applyFont="1" applyBorder="1" applyAlignment="1">
      <alignment horizontal="center" vertical="center" readingOrder="2"/>
    </xf>
    <xf numFmtId="3" fontId="35" fillId="0" borderId="28" xfId="113" applyNumberFormat="1" applyFont="1" applyBorder="1" applyAlignment="1">
      <alignment horizontal="center" vertical="center" readingOrder="2"/>
    </xf>
    <xf numFmtId="9" fontId="35" fillId="0" borderId="123" xfId="115" applyFont="1" applyFill="1" applyBorder="1" applyAlignment="1">
      <alignment horizontal="center" vertical="center" readingOrder="2"/>
    </xf>
    <xf numFmtId="3" fontId="18" fillId="0" borderId="113" xfId="113" applyNumberFormat="1" applyFont="1" applyBorder="1" applyAlignment="1">
      <alignment horizontal="center" vertical="center" readingOrder="2"/>
    </xf>
    <xf numFmtId="3" fontId="18" fillId="0" borderId="114" xfId="113" applyNumberFormat="1" applyFont="1" applyBorder="1" applyAlignment="1">
      <alignment horizontal="center" vertical="center" readingOrder="2"/>
    </xf>
    <xf numFmtId="9" fontId="18" fillId="3" borderId="120" xfId="115" applyFont="1" applyFill="1" applyBorder="1" applyAlignment="1">
      <alignment horizontal="center" vertical="center" readingOrder="2"/>
    </xf>
    <xf numFmtId="9" fontId="141" fillId="0" borderId="0" xfId="3" applyFont="1"/>
    <xf numFmtId="4" fontId="141" fillId="0" borderId="0" xfId="113" applyNumberFormat="1" applyFont="1"/>
    <xf numFmtId="9" fontId="35" fillId="0" borderId="121" xfId="115" applyFont="1" applyBorder="1" applyAlignment="1">
      <alignment horizontal="center" vertical="center" readingOrder="2"/>
    </xf>
    <xf numFmtId="9" fontId="35" fillId="0" borderId="122" xfId="115" applyFont="1" applyBorder="1" applyAlignment="1">
      <alignment horizontal="center" vertical="center" readingOrder="2"/>
    </xf>
    <xf numFmtId="9" fontId="35" fillId="0" borderId="123" xfId="115" applyFont="1" applyBorder="1" applyAlignment="1">
      <alignment horizontal="center" vertical="center" readingOrder="2"/>
    </xf>
    <xf numFmtId="9" fontId="35" fillId="3" borderId="120" xfId="115" applyFont="1" applyFill="1" applyBorder="1" applyAlignment="1">
      <alignment horizontal="center" vertical="center" readingOrder="2"/>
    </xf>
    <xf numFmtId="3" fontId="16" fillId="0" borderId="0" xfId="113" applyNumberFormat="1" applyFont="1" applyAlignment="1">
      <alignment horizontal="center" vertical="center" readingOrder="2"/>
    </xf>
    <xf numFmtId="3" fontId="18" fillId="4" borderId="120" xfId="113" applyNumberFormat="1" applyFont="1" applyFill="1" applyBorder="1" applyAlignment="1">
      <alignment horizontal="center" vertical="center" readingOrder="2"/>
    </xf>
    <xf numFmtId="0" fontId="18" fillId="4" borderId="117" xfId="113" applyFont="1" applyFill="1" applyBorder="1" applyAlignment="1">
      <alignment horizontal="center" vertical="center" readingOrder="2"/>
    </xf>
    <xf numFmtId="3" fontId="87" fillId="0" borderId="72" xfId="113" applyNumberFormat="1" applyFont="1" applyBorder="1" applyAlignment="1">
      <alignment horizontal="center" vertical="center" readingOrder="2"/>
    </xf>
    <xf numFmtId="3" fontId="87" fillId="0" borderId="49" xfId="112" applyNumberFormat="1" applyFont="1" applyBorder="1" applyAlignment="1">
      <alignment horizontal="center"/>
    </xf>
    <xf numFmtId="0" fontId="18" fillId="4" borderId="118" xfId="113" applyFont="1" applyFill="1" applyBorder="1" applyAlignment="1">
      <alignment horizontal="center" vertical="center" readingOrder="2"/>
    </xf>
    <xf numFmtId="3" fontId="87" fillId="0" borderId="27" xfId="113" applyNumberFormat="1" applyFont="1" applyBorder="1" applyAlignment="1">
      <alignment horizontal="center" vertical="center" readingOrder="2"/>
    </xf>
    <xf numFmtId="3" fontId="87" fillId="0" borderId="92" xfId="112" applyNumberFormat="1" applyFont="1" applyBorder="1" applyAlignment="1">
      <alignment horizontal="center"/>
    </xf>
    <xf numFmtId="164" fontId="141" fillId="0" borderId="0" xfId="113" applyNumberFormat="1" applyFont="1"/>
    <xf numFmtId="3" fontId="87" fillId="0" borderId="53" xfId="113" applyNumberFormat="1" applyFont="1" applyBorder="1" applyAlignment="1">
      <alignment horizontal="center" vertical="center" readingOrder="2"/>
    </xf>
    <xf numFmtId="3" fontId="87" fillId="0" borderId="28" xfId="112" applyNumberFormat="1" applyFont="1" applyBorder="1" applyAlignment="1">
      <alignment horizontal="center"/>
    </xf>
    <xf numFmtId="3" fontId="140" fillId="4" borderId="113" xfId="113" applyNumberFormat="1" applyFont="1" applyFill="1" applyBorder="1" applyAlignment="1">
      <alignment horizontal="center" vertical="center" readingOrder="2"/>
    </xf>
    <xf numFmtId="3" fontId="140" fillId="4" borderId="114" xfId="113" applyNumberFormat="1" applyFont="1" applyFill="1" applyBorder="1" applyAlignment="1">
      <alignment horizontal="center" vertical="center" readingOrder="2"/>
    </xf>
    <xf numFmtId="3" fontId="87" fillId="0" borderId="49" xfId="113" applyNumberFormat="1" applyFont="1" applyBorder="1" applyAlignment="1">
      <alignment horizontal="center" vertical="center" readingOrder="2"/>
    </xf>
    <xf numFmtId="3" fontId="87" fillId="0" borderId="92" xfId="113" applyNumberFormat="1" applyFont="1" applyBorder="1" applyAlignment="1">
      <alignment horizontal="center" vertical="center" readingOrder="2"/>
    </xf>
    <xf numFmtId="3" fontId="87" fillId="0" borderId="28" xfId="113" applyNumberFormat="1" applyFont="1" applyBorder="1" applyAlignment="1">
      <alignment horizontal="center" vertical="center" readingOrder="2"/>
    </xf>
    <xf numFmtId="183" fontId="27" fillId="0" borderId="0" xfId="111" applyFont="1"/>
    <xf numFmtId="0" fontId="13" fillId="2" borderId="0" xfId="113" applyFont="1" applyFill="1"/>
    <xf numFmtId="0" fontId="144" fillId="2" borderId="0" xfId="113" applyFont="1" applyFill="1"/>
    <xf numFmtId="0" fontId="27" fillId="2" borderId="0" xfId="113" applyFill="1"/>
    <xf numFmtId="0" fontId="58" fillId="0" borderId="0" xfId="8" applyFont="1" applyAlignment="1">
      <alignment horizontal="left"/>
    </xf>
    <xf numFmtId="0" fontId="58" fillId="0" borderId="0" xfId="8" applyFont="1" applyAlignment="1">
      <alignment horizontal="center"/>
    </xf>
    <xf numFmtId="0" fontId="58" fillId="0" borderId="0" xfId="8" applyFont="1"/>
    <xf numFmtId="0" fontId="7" fillId="0" borderId="0" xfId="8"/>
    <xf numFmtId="0" fontId="145" fillId="0" borderId="0" xfId="8" applyFont="1" applyAlignment="1">
      <alignment horizontal="center" vertical="center"/>
    </xf>
    <xf numFmtId="0" fontId="146" fillId="0" borderId="0" xfId="116" applyFont="1" applyAlignment="1">
      <alignment vertical="center" wrapText="1"/>
    </xf>
    <xf numFmtId="0" fontId="58" fillId="0" borderId="0" xfId="116" applyFont="1"/>
    <xf numFmtId="0" fontId="146" fillId="0" borderId="0" xfId="116" applyFont="1" applyAlignment="1">
      <alignment wrapText="1"/>
    </xf>
    <xf numFmtId="0" fontId="146" fillId="0" borderId="0" xfId="8" applyFont="1"/>
    <xf numFmtId="0" fontId="146" fillId="0" borderId="0" xfId="116" applyFont="1"/>
    <xf numFmtId="0" fontId="32" fillId="0" borderId="76" xfId="8" applyFont="1" applyBorder="1" applyAlignment="1">
      <alignment horizontal="center" vertical="center"/>
    </xf>
    <xf numFmtId="3" fontId="32" fillId="0" borderId="72" xfId="8" applyNumberFormat="1" applyFont="1" applyBorder="1" applyAlignment="1">
      <alignment horizontal="center" vertical="center"/>
    </xf>
    <xf numFmtId="3" fontId="32" fillId="0" borderId="121" xfId="8" applyNumberFormat="1" applyFont="1" applyBorder="1" applyAlignment="1">
      <alignment horizontal="center" vertical="center"/>
    </xf>
    <xf numFmtId="1" fontId="7" fillId="0" borderId="0" xfId="8" applyNumberFormat="1"/>
    <xf numFmtId="9" fontId="7" fillId="0" borderId="0" xfId="3"/>
    <xf numFmtId="0" fontId="32" fillId="0" borderId="12" xfId="8" applyFont="1" applyBorder="1" applyAlignment="1">
      <alignment horizontal="center" vertical="center"/>
    </xf>
    <xf numFmtId="3" fontId="32" fillId="0" borderId="27" xfId="8" applyNumberFormat="1" applyFont="1" applyBorder="1" applyAlignment="1">
      <alignment horizontal="center" vertical="center"/>
    </xf>
    <xf numFmtId="3" fontId="32" fillId="0" borderId="122" xfId="8" applyNumberFormat="1" applyFont="1" applyBorder="1" applyAlignment="1">
      <alignment horizontal="center" vertical="center"/>
    </xf>
    <xf numFmtId="0" fontId="32" fillId="0" borderId="143" xfId="8" applyFont="1" applyBorder="1" applyAlignment="1">
      <alignment horizontal="center" vertical="center"/>
    </xf>
    <xf numFmtId="9" fontId="32" fillId="0" borderId="144" xfId="119" applyFont="1" applyFill="1" applyBorder="1" applyAlignment="1">
      <alignment horizontal="center" vertical="center"/>
    </xf>
    <xf numFmtId="9" fontId="32" fillId="0" borderId="131" xfId="119" applyFont="1" applyFill="1" applyBorder="1" applyAlignment="1">
      <alignment horizontal="center" vertical="center"/>
    </xf>
    <xf numFmtId="184" fontId="147" fillId="0" borderId="0" xfId="120"/>
    <xf numFmtId="3" fontId="18" fillId="21" borderId="45" xfId="113" applyNumberFormat="1" applyFont="1" applyFill="1" applyBorder="1" applyAlignment="1">
      <alignment horizontal="center" vertical="center" readingOrder="2"/>
    </xf>
    <xf numFmtId="3" fontId="18" fillId="21" borderId="44" xfId="113" applyNumberFormat="1" applyFont="1" applyFill="1" applyBorder="1" applyAlignment="1">
      <alignment horizontal="center" vertical="center" readingOrder="2"/>
    </xf>
    <xf numFmtId="0" fontId="11" fillId="21" borderId="68" xfId="8" applyFont="1" applyFill="1" applyBorder="1" applyAlignment="1">
      <alignment horizontal="center" vertical="center" wrapText="1"/>
    </xf>
    <xf numFmtId="0" fontId="11" fillId="21" borderId="48" xfId="8" applyFont="1" applyFill="1" applyBorder="1" applyAlignment="1">
      <alignment horizontal="center" vertical="center"/>
    </xf>
    <xf numFmtId="0" fontId="11" fillId="21" borderId="48" xfId="8" applyFont="1" applyFill="1" applyBorder="1" applyAlignment="1">
      <alignment horizontal="center" vertical="center" wrapText="1"/>
    </xf>
    <xf numFmtId="0" fontId="11" fillId="21" borderId="36" xfId="8" applyFont="1" applyFill="1" applyBorder="1" applyAlignment="1">
      <alignment horizontal="center" vertical="center"/>
    </xf>
    <xf numFmtId="3" fontId="35" fillId="0" borderId="76" xfId="113" applyNumberFormat="1" applyFont="1" applyBorder="1" applyAlignment="1">
      <alignment horizontal="center" vertical="center" readingOrder="2"/>
    </xf>
    <xf numFmtId="0" fontId="16" fillId="0" borderId="76" xfId="117" applyFont="1" applyBorder="1" applyAlignment="1">
      <alignment horizontal="center" wrapText="1" readingOrder="2"/>
    </xf>
    <xf numFmtId="3" fontId="32" fillId="0" borderId="72" xfId="8" applyNumberFormat="1" applyFont="1" applyBorder="1" applyAlignment="1">
      <alignment horizontal="center" vertical="center" shrinkToFit="1"/>
    </xf>
    <xf numFmtId="3" fontId="32" fillId="0" borderId="49" xfId="8" applyNumberFormat="1" applyFont="1" applyBorder="1" applyAlignment="1">
      <alignment horizontal="center" vertical="center"/>
    </xf>
    <xf numFmtId="3" fontId="32" fillId="0" borderId="38" xfId="8" applyNumberFormat="1" applyFont="1" applyBorder="1" applyAlignment="1">
      <alignment horizontal="center" vertical="center"/>
    </xf>
    <xf numFmtId="3" fontId="35" fillId="0" borderId="12" xfId="113" applyNumberFormat="1" applyFont="1" applyBorder="1" applyAlignment="1">
      <alignment horizontal="center" vertical="center" readingOrder="2"/>
    </xf>
    <xf numFmtId="0" fontId="16" fillId="0" borderId="12" xfId="8" applyFont="1" applyBorder="1" applyAlignment="1">
      <alignment horizontal="center" wrapText="1" readingOrder="2"/>
    </xf>
    <xf numFmtId="3" fontId="32" fillId="0" borderId="27" xfId="8" applyNumberFormat="1" applyFont="1" applyBorder="1" applyAlignment="1">
      <alignment horizontal="center" vertical="center" shrinkToFit="1"/>
    </xf>
    <xf numFmtId="3" fontId="32" fillId="0" borderId="26" xfId="8" applyNumberFormat="1" applyFont="1" applyBorder="1" applyAlignment="1">
      <alignment horizontal="center" vertical="center"/>
    </xf>
    <xf numFmtId="0" fontId="18" fillId="0" borderId="12" xfId="8" applyFont="1" applyBorder="1" applyAlignment="1">
      <alignment horizontal="center" wrapText="1" readingOrder="2"/>
    </xf>
    <xf numFmtId="3" fontId="26" fillId="0" borderId="49" xfId="112" applyNumberFormat="1" applyFont="1" applyBorder="1" applyAlignment="1">
      <alignment horizontal="center"/>
    </xf>
    <xf numFmtId="3" fontId="6" fillId="0" borderId="0" xfId="114" applyNumberFormat="1"/>
    <xf numFmtId="3" fontId="147" fillId="0" borderId="0" xfId="120" applyNumberFormat="1"/>
    <xf numFmtId="185" fontId="147" fillId="0" borderId="0" xfId="120" applyNumberFormat="1"/>
    <xf numFmtId="3" fontId="26" fillId="0" borderId="92" xfId="112" applyNumberFormat="1" applyFont="1" applyBorder="1" applyAlignment="1">
      <alignment horizontal="center"/>
    </xf>
    <xf numFmtId="3" fontId="26" fillId="0" borderId="92" xfId="112" applyNumberFormat="1" applyFont="1" applyBorder="1" applyAlignment="1">
      <alignment horizontal="center" vertical="center"/>
    </xf>
    <xf numFmtId="3" fontId="26" fillId="0" borderId="28" xfId="112" applyNumberFormat="1" applyFont="1" applyBorder="1" applyAlignment="1">
      <alignment horizontal="center"/>
    </xf>
    <xf numFmtId="3" fontId="32" fillId="0" borderId="28" xfId="8" applyNumberFormat="1" applyFont="1" applyBorder="1" applyAlignment="1">
      <alignment horizontal="center" vertical="center"/>
    </xf>
    <xf numFmtId="3" fontId="32" fillId="0" borderId="40" xfId="8" applyNumberFormat="1" applyFont="1" applyBorder="1" applyAlignment="1">
      <alignment horizontal="center" vertical="center"/>
    </xf>
    <xf numFmtId="187" fontId="0" fillId="0" borderId="0" xfId="121" applyNumberFormat="1" applyFont="1"/>
    <xf numFmtId="3" fontId="16" fillId="0" borderId="49" xfId="113" applyNumberFormat="1" applyFont="1" applyBorder="1" applyAlignment="1">
      <alignment horizontal="center" vertical="center" readingOrder="2"/>
    </xf>
    <xf numFmtId="3" fontId="16" fillId="18" borderId="121" xfId="113" applyNumberFormat="1" applyFont="1" applyFill="1" applyBorder="1" applyAlignment="1">
      <alignment horizontal="center" vertical="center" readingOrder="2"/>
    </xf>
    <xf numFmtId="3" fontId="16" fillId="0" borderId="92" xfId="113" applyNumberFormat="1" applyFont="1" applyBorder="1" applyAlignment="1">
      <alignment horizontal="center" vertical="center" readingOrder="2"/>
    </xf>
    <xf numFmtId="3" fontId="16" fillId="18" borderId="122" xfId="113" applyNumberFormat="1" applyFont="1" applyFill="1" applyBorder="1" applyAlignment="1">
      <alignment horizontal="center" vertical="center" readingOrder="2"/>
    </xf>
    <xf numFmtId="3" fontId="16" fillId="0" borderId="28" xfId="113" applyNumberFormat="1" applyFont="1" applyBorder="1" applyAlignment="1">
      <alignment horizontal="center" vertical="center" readingOrder="2"/>
    </xf>
    <xf numFmtId="3" fontId="16" fillId="18" borderId="123" xfId="113" applyNumberFormat="1" applyFont="1" applyFill="1" applyBorder="1" applyAlignment="1">
      <alignment horizontal="center" vertical="center" readingOrder="2"/>
    </xf>
    <xf numFmtId="3" fontId="27" fillId="0" borderId="0" xfId="113" applyNumberFormat="1"/>
    <xf numFmtId="0" fontId="26" fillId="0" borderId="0" xfId="8" applyFont="1" applyAlignment="1">
      <alignment horizontal="right" wrapText="1" readingOrder="2"/>
    </xf>
    <xf numFmtId="0" fontId="140" fillId="0" borderId="0" xfId="113" applyFont="1"/>
    <xf numFmtId="3" fontId="140" fillId="0" borderId="49" xfId="113" applyNumberFormat="1" applyFont="1" applyBorder="1" applyAlignment="1">
      <alignment horizontal="center" vertical="center" readingOrder="2"/>
    </xf>
    <xf numFmtId="3" fontId="140" fillId="18" borderId="121" xfId="113" applyNumberFormat="1" applyFont="1" applyFill="1" applyBorder="1" applyAlignment="1">
      <alignment horizontal="center" vertical="center" readingOrder="2"/>
    </xf>
    <xf numFmtId="3" fontId="140" fillId="0" borderId="0" xfId="113" applyNumberFormat="1" applyFont="1"/>
    <xf numFmtId="3" fontId="140" fillId="0" borderId="92" xfId="113" applyNumberFormat="1" applyFont="1" applyBorder="1" applyAlignment="1">
      <alignment horizontal="center" vertical="center" readingOrder="2"/>
    </xf>
    <xf numFmtId="3" fontId="140" fillId="18" borderId="122" xfId="113" applyNumberFormat="1" applyFont="1" applyFill="1" applyBorder="1" applyAlignment="1">
      <alignment horizontal="center" vertical="center" readingOrder="2"/>
    </xf>
    <xf numFmtId="3" fontId="140" fillId="0" borderId="28" xfId="113" applyNumberFormat="1" applyFont="1" applyBorder="1" applyAlignment="1">
      <alignment horizontal="center" vertical="center" readingOrder="2"/>
    </xf>
    <xf numFmtId="3" fontId="140" fillId="18" borderId="123" xfId="113" applyNumberFormat="1" applyFont="1" applyFill="1" applyBorder="1" applyAlignment="1">
      <alignment horizontal="center" vertical="center" readingOrder="2"/>
    </xf>
    <xf numFmtId="0" fontId="25" fillId="0" borderId="92" xfId="8" applyFont="1" applyBorder="1" applyAlignment="1">
      <alignment horizontal="center" vertical="center"/>
    </xf>
    <xf numFmtId="0" fontId="11" fillId="0" borderId="44" xfId="8" applyFont="1" applyBorder="1" applyAlignment="1">
      <alignment horizontal="center" vertical="center" wrapText="1"/>
    </xf>
    <xf numFmtId="3" fontId="32" fillId="3" borderId="36" xfId="8" applyNumberFormat="1" applyFont="1" applyFill="1" applyBorder="1" applyAlignment="1">
      <alignment horizontal="right" vertical="center" indent="3"/>
    </xf>
    <xf numFmtId="3" fontId="32" fillId="3" borderId="48" xfId="8" applyNumberFormat="1" applyFont="1" applyFill="1" applyBorder="1" applyAlignment="1">
      <alignment horizontal="right" vertical="center" indent="3"/>
    </xf>
    <xf numFmtId="3" fontId="32" fillId="3" borderId="68" xfId="8" applyNumberFormat="1" applyFont="1" applyFill="1" applyBorder="1" applyAlignment="1">
      <alignment horizontal="right" vertical="center" indent="3"/>
    </xf>
    <xf numFmtId="3" fontId="32" fillId="0" borderId="26" xfId="8" applyNumberFormat="1" applyFont="1" applyBorder="1" applyAlignment="1">
      <alignment horizontal="right" vertical="center" indent="3"/>
    </xf>
    <xf numFmtId="0" fontId="6" fillId="0" borderId="0" xfId="114"/>
    <xf numFmtId="3" fontId="32" fillId="0" borderId="23" xfId="8" applyNumberFormat="1" applyFont="1" applyBorder="1" applyAlignment="1">
      <alignment horizontal="right" vertical="center" indent="3"/>
    </xf>
    <xf numFmtId="3" fontId="32" fillId="0" borderId="92" xfId="8" applyNumberFormat="1" applyFont="1" applyBorder="1" applyAlignment="1">
      <alignment horizontal="right" vertical="center"/>
    </xf>
    <xf numFmtId="3" fontId="32" fillId="0" borderId="27" xfId="8" applyNumberFormat="1" applyFont="1" applyBorder="1" applyAlignment="1">
      <alignment horizontal="right" vertical="center" indent="3" shrinkToFit="1"/>
    </xf>
    <xf numFmtId="3" fontId="32" fillId="0" borderId="92" xfId="8" applyNumberFormat="1" applyFont="1" applyBorder="1" applyAlignment="1">
      <alignment horizontal="right" vertical="center" indent="3"/>
    </xf>
    <xf numFmtId="3" fontId="32" fillId="5" borderId="92" xfId="8" applyNumberFormat="1" applyFont="1" applyFill="1" applyBorder="1" applyAlignment="1">
      <alignment horizontal="right" vertical="center" indent="2"/>
    </xf>
    <xf numFmtId="3" fontId="32" fillId="0" borderId="38" xfId="8" applyNumberFormat="1" applyFont="1" applyBorder="1" applyAlignment="1">
      <alignment horizontal="right" vertical="center" indent="3"/>
    </xf>
    <xf numFmtId="3" fontId="32" fillId="0" borderId="49" xfId="8" applyNumberFormat="1" applyFont="1" applyBorder="1" applyAlignment="1">
      <alignment horizontal="right" vertical="center" indent="3"/>
    </xf>
    <xf numFmtId="3" fontId="32" fillId="5" borderId="49" xfId="8" applyNumberFormat="1" applyFont="1" applyFill="1" applyBorder="1" applyAlignment="1">
      <alignment horizontal="right" vertical="center" indent="2"/>
    </xf>
    <xf numFmtId="3" fontId="32" fillId="0" borderId="72" xfId="8" applyNumberFormat="1" applyFont="1" applyBorder="1" applyAlignment="1">
      <alignment horizontal="right" vertical="center" indent="3" shrinkToFit="1"/>
    </xf>
    <xf numFmtId="3" fontId="16" fillId="18" borderId="26" xfId="113" applyNumberFormat="1" applyFont="1" applyFill="1" applyBorder="1" applyAlignment="1">
      <alignment horizontal="center" vertical="center" readingOrder="2"/>
    </xf>
    <xf numFmtId="3" fontId="16" fillId="18" borderId="38" xfId="113" applyNumberFormat="1" applyFont="1" applyFill="1" applyBorder="1" applyAlignment="1">
      <alignment horizontal="center" vertical="center" readingOrder="2"/>
    </xf>
    <xf numFmtId="3" fontId="140" fillId="18" borderId="26" xfId="113" applyNumberFormat="1" applyFont="1" applyFill="1" applyBorder="1" applyAlignment="1">
      <alignment horizontal="center" vertical="center" readingOrder="2"/>
    </xf>
    <xf numFmtId="0" fontId="82" fillId="0" borderId="0" xfId="1" applyFont="1" applyAlignment="1">
      <alignment wrapText="1"/>
    </xf>
    <xf numFmtId="0" fontId="59" fillId="2" borderId="44" xfId="122" applyFont="1" applyFill="1" applyBorder="1" applyAlignment="1">
      <alignment horizontal="center" vertical="center"/>
    </xf>
    <xf numFmtId="0" fontId="35" fillId="2" borderId="19" xfId="123" applyFont="1" applyFill="1" applyBorder="1" applyAlignment="1">
      <alignment horizontal="center" vertical="center"/>
    </xf>
    <xf numFmtId="0" fontId="35" fillId="2" borderId="44" xfId="123" applyFont="1" applyFill="1" applyBorder="1" applyAlignment="1">
      <alignment horizontal="center" vertical="center"/>
    </xf>
    <xf numFmtId="0" fontId="35" fillId="2" borderId="7" xfId="123" applyFont="1" applyFill="1" applyBorder="1" applyAlignment="1">
      <alignment horizontal="center" vertical="center"/>
    </xf>
    <xf numFmtId="0" fontId="35" fillId="2" borderId="45" xfId="123" applyFont="1" applyFill="1" applyBorder="1" applyAlignment="1">
      <alignment horizontal="center" vertical="center"/>
    </xf>
    <xf numFmtId="0" fontId="49" fillId="2" borderId="20" xfId="123" applyFont="1" applyFill="1" applyBorder="1" applyAlignment="1">
      <alignment horizontal="right" vertical="center"/>
    </xf>
    <xf numFmtId="0" fontId="49" fillId="2" borderId="4" xfId="123" applyFont="1" applyFill="1" applyBorder="1" applyAlignment="1">
      <alignment horizontal="right" vertical="center"/>
    </xf>
    <xf numFmtId="169" fontId="143" fillId="2" borderId="19" xfId="124" applyNumberFormat="1" applyFont="1" applyFill="1" applyBorder="1" applyAlignment="1">
      <alignment horizontal="center" vertical="center"/>
    </xf>
    <xf numFmtId="165" fontId="9" fillId="2" borderId="0" xfId="1" applyNumberFormat="1" applyFont="1" applyFill="1"/>
    <xf numFmtId="0" fontId="9" fillId="2" borderId="0" xfId="1" applyFont="1" applyFill="1"/>
    <xf numFmtId="0" fontId="6" fillId="0" borderId="0" xfId="126"/>
    <xf numFmtId="0" fontId="35" fillId="2" borderId="92" xfId="8" applyFont="1" applyFill="1" applyBorder="1" applyAlignment="1">
      <alignment horizontal="center" vertical="center" readingOrder="2"/>
    </xf>
    <xf numFmtId="1" fontId="82" fillId="2" borderId="92" xfId="8" applyNumberFormat="1" applyFont="1" applyFill="1" applyBorder="1" applyAlignment="1">
      <alignment horizontal="center" vertical="center" readingOrder="2"/>
    </xf>
    <xf numFmtId="1" fontId="82" fillId="2" borderId="92" xfId="8" applyNumberFormat="1" applyFont="1" applyFill="1" applyBorder="1" applyAlignment="1">
      <alignment horizontal="center" vertical="center" wrapText="1" readingOrder="2"/>
    </xf>
    <xf numFmtId="182" fontId="9" fillId="0" borderId="0" xfId="8" applyNumberFormat="1" applyFont="1" applyAlignment="1">
      <alignment horizontal="center" vertical="center"/>
    </xf>
    <xf numFmtId="0" fontId="7" fillId="0" borderId="0" xfId="127" applyAlignment="1">
      <alignment horizontal="center" vertical="center"/>
    </xf>
    <xf numFmtId="0" fontId="11" fillId="0" borderId="32" xfId="8" applyFont="1" applyBorder="1" applyAlignment="1">
      <alignment horizontal="center" vertical="center"/>
    </xf>
    <xf numFmtId="0" fontId="32" fillId="0" borderId="47" xfId="8" applyFont="1" applyBorder="1" applyAlignment="1">
      <alignment horizontal="center" vertical="center"/>
    </xf>
    <xf numFmtId="175" fontId="32" fillId="0" borderId="4" xfId="8" applyNumberFormat="1" applyFont="1" applyBorder="1" applyAlignment="1">
      <alignment horizontal="center" vertical="center"/>
    </xf>
    <xf numFmtId="0" fontId="32" fillId="0" borderId="69" xfId="8" applyFont="1" applyBorder="1" applyAlignment="1">
      <alignment horizontal="center" vertical="center"/>
    </xf>
    <xf numFmtId="175" fontId="32" fillId="0" borderId="7" xfId="8" applyNumberFormat="1" applyFont="1" applyBorder="1" applyAlignment="1">
      <alignment horizontal="center" vertical="center"/>
    </xf>
    <xf numFmtId="0" fontId="32" fillId="0" borderId="57" xfId="8" applyFont="1" applyBorder="1" applyAlignment="1">
      <alignment horizontal="center" vertical="center"/>
    </xf>
    <xf numFmtId="175" fontId="32" fillId="0" borderId="19" xfId="8" applyNumberFormat="1" applyFont="1" applyBorder="1" applyAlignment="1">
      <alignment horizontal="center" vertical="center"/>
    </xf>
    <xf numFmtId="0" fontId="11" fillId="0" borderId="0" xfId="22" applyFont="1" applyAlignment="1">
      <alignment horizontal="center" vertical="center"/>
    </xf>
    <xf numFmtId="175" fontId="11" fillId="0" borderId="0" xfId="22" applyNumberFormat="1" applyFont="1" applyAlignment="1">
      <alignment horizontal="center" vertical="center"/>
    </xf>
    <xf numFmtId="0" fontId="32" fillId="0" borderId="0" xfId="8" applyFont="1" applyAlignment="1">
      <alignment horizontal="center" vertical="center"/>
    </xf>
    <xf numFmtId="0" fontId="32" fillId="0" borderId="3" xfId="8" applyFont="1" applyBorder="1" applyAlignment="1">
      <alignment horizontal="center" vertical="center"/>
    </xf>
    <xf numFmtId="0" fontId="11" fillId="0" borderId="0" xfId="22" applyFont="1" applyAlignment="1">
      <alignment horizontal="right" vertical="center" indent="3"/>
    </xf>
    <xf numFmtId="0" fontId="32" fillId="0" borderId="6" xfId="8" applyFont="1" applyBorder="1" applyAlignment="1">
      <alignment horizontal="center" vertical="center"/>
    </xf>
    <xf numFmtId="0" fontId="32" fillId="0" borderId="18" xfId="8" applyFont="1" applyBorder="1" applyAlignment="1">
      <alignment horizontal="center" vertical="center"/>
    </xf>
    <xf numFmtId="0" fontId="11" fillId="0" borderId="35" xfId="8" applyFont="1" applyBorder="1" applyAlignment="1">
      <alignment horizontal="center" vertical="center"/>
    </xf>
    <xf numFmtId="0" fontId="106" fillId="0" borderId="0" xfId="8" applyFont="1"/>
    <xf numFmtId="0" fontId="24" fillId="0" borderId="71" xfId="8" applyFont="1" applyBorder="1" applyAlignment="1">
      <alignment horizontal="center" vertical="center"/>
    </xf>
    <xf numFmtId="0" fontId="82" fillId="0" borderId="21" xfId="8" applyFont="1" applyBorder="1" applyAlignment="1">
      <alignment horizontal="center" vertical="center"/>
    </xf>
    <xf numFmtId="0" fontId="82" fillId="0" borderId="23" xfId="8" applyFont="1" applyBorder="1" applyAlignment="1">
      <alignment horizontal="center" vertical="center"/>
    </xf>
    <xf numFmtId="1" fontId="161" fillId="0" borderId="0" xfId="8" applyNumberFormat="1" applyFont="1" applyAlignment="1">
      <alignment horizontal="center" vertical="center"/>
    </xf>
    <xf numFmtId="0" fontId="24" fillId="0" borderId="79" xfId="8" applyFont="1" applyBorder="1" applyAlignment="1">
      <alignment horizontal="center" vertical="center"/>
    </xf>
    <xf numFmtId="0" fontId="82" fillId="0" borderId="77" xfId="8" applyFont="1" applyBorder="1" applyAlignment="1">
      <alignment horizontal="center" vertical="center"/>
    </xf>
    <xf numFmtId="0" fontId="82" fillId="0" borderId="69" xfId="8" applyFont="1" applyBorder="1" applyAlignment="1">
      <alignment horizontal="center" vertical="center"/>
    </xf>
    <xf numFmtId="0" fontId="24" fillId="0" borderId="53" xfId="8" applyFont="1" applyBorder="1" applyAlignment="1">
      <alignment horizontal="center" vertical="center"/>
    </xf>
    <xf numFmtId="0" fontId="82" fillId="0" borderId="39" xfId="8" applyFont="1" applyBorder="1" applyAlignment="1">
      <alignment horizontal="center" vertical="center"/>
    </xf>
    <xf numFmtId="0" fontId="82" fillId="0" borderId="40" xfId="8" applyFont="1" applyBorder="1" applyAlignment="1">
      <alignment horizontal="center" vertical="center"/>
    </xf>
    <xf numFmtId="0" fontId="11" fillId="0" borderId="0" xfId="8" applyFont="1" applyAlignment="1">
      <alignment vertical="center"/>
    </xf>
    <xf numFmtId="0" fontId="162" fillId="0" borderId="0" xfId="8" applyFont="1" applyAlignment="1">
      <alignment vertical="center" wrapText="1"/>
    </xf>
    <xf numFmtId="0" fontId="82" fillId="0" borderId="0" xfId="8" applyFont="1"/>
    <xf numFmtId="0" fontId="82" fillId="0" borderId="24" xfId="8" applyFont="1" applyBorder="1" applyAlignment="1">
      <alignment horizontal="center" vertical="center"/>
    </xf>
    <xf numFmtId="0" fontId="82" fillId="0" borderId="26" xfId="8" applyFont="1" applyBorder="1" applyAlignment="1">
      <alignment horizontal="center" vertical="center"/>
    </xf>
    <xf numFmtId="0" fontId="12" fillId="0" borderId="0" xfId="8" applyFont="1"/>
    <xf numFmtId="0" fontId="9" fillId="0" borderId="20" xfId="8" applyFont="1" applyBorder="1" applyAlignment="1">
      <alignment horizontal="right"/>
    </xf>
    <xf numFmtId="0" fontId="9" fillId="0" borderId="0" xfId="8" applyFont="1" applyAlignment="1">
      <alignment horizontal="right"/>
    </xf>
    <xf numFmtId="1" fontId="9" fillId="0" borderId="0" xfId="8" applyNumberFormat="1" applyFont="1" applyAlignment="1">
      <alignment horizontal="center" vertical="center"/>
    </xf>
    <xf numFmtId="0" fontId="12" fillId="0" borderId="0" xfId="8" applyFont="1" applyAlignment="1">
      <alignment horizontal="right"/>
    </xf>
    <xf numFmtId="0" fontId="151" fillId="0" borderId="0" xfId="8" applyFont="1"/>
    <xf numFmtId="1" fontId="89" fillId="0" borderId="0" xfId="8" applyNumberFormat="1" applyFont="1" applyAlignment="1">
      <alignment horizontal="center" vertical="center"/>
    </xf>
    <xf numFmtId="0" fontId="9" fillId="0" borderId="0" xfId="8" applyFont="1" applyAlignment="1">
      <alignment wrapText="1"/>
    </xf>
    <xf numFmtId="0" fontId="36" fillId="0" borderId="0" xfId="8" applyFont="1" applyAlignment="1">
      <alignment vertical="center" wrapText="1"/>
    </xf>
    <xf numFmtId="2" fontId="121" fillId="0" borderId="0" xfId="8" applyNumberFormat="1" applyFont="1" applyAlignment="1">
      <alignment horizontal="center" vertical="center" wrapText="1"/>
    </xf>
    <xf numFmtId="0" fontId="11" fillId="0" borderId="0" xfId="8" applyFont="1" applyAlignment="1">
      <alignment horizontal="center" vertical="center"/>
    </xf>
    <xf numFmtId="0" fontId="21" fillId="0" borderId="0" xfId="8" applyFont="1" applyAlignment="1">
      <alignment horizontal="center" vertical="center"/>
    </xf>
    <xf numFmtId="0" fontId="21" fillId="0" borderId="9" xfId="8" applyFont="1" applyBorder="1" applyAlignment="1">
      <alignment horizontal="center" vertical="center"/>
    </xf>
    <xf numFmtId="0" fontId="21" fillId="2" borderId="71" xfId="8" applyFont="1" applyFill="1" applyBorder="1" applyAlignment="1">
      <alignment horizontal="center" vertical="center"/>
    </xf>
    <xf numFmtId="0" fontId="21" fillId="2" borderId="10" xfId="8" applyFont="1" applyFill="1" applyBorder="1" applyAlignment="1">
      <alignment horizontal="center" vertical="center"/>
    </xf>
    <xf numFmtId="0" fontId="21" fillId="0" borderId="12" xfId="8" applyFont="1" applyBorder="1" applyAlignment="1">
      <alignment horizontal="center" vertical="center"/>
    </xf>
    <xf numFmtId="0" fontId="21" fillId="2" borderId="27" xfId="8" applyFont="1" applyFill="1" applyBorder="1" applyAlignment="1">
      <alignment horizontal="center" vertical="center"/>
    </xf>
    <xf numFmtId="0" fontId="21" fillId="2" borderId="13" xfId="8" applyFont="1" applyFill="1" applyBorder="1" applyAlignment="1">
      <alignment horizontal="center" vertical="center"/>
    </xf>
    <xf numFmtId="0" fontId="21" fillId="0" borderId="15" xfId="8" applyFont="1" applyBorder="1" applyAlignment="1">
      <alignment horizontal="center" vertical="center"/>
    </xf>
    <xf numFmtId="0" fontId="21" fillId="2" borderId="91" xfId="8" applyFont="1" applyFill="1" applyBorder="1" applyAlignment="1">
      <alignment horizontal="center" vertical="center"/>
    </xf>
    <xf numFmtId="0" fontId="21" fillId="2" borderId="16" xfId="8" applyFont="1" applyFill="1" applyBorder="1" applyAlignment="1">
      <alignment horizontal="center" vertical="center"/>
    </xf>
    <xf numFmtId="0" fontId="120" fillId="0" borderId="0" xfId="125" applyFont="1" applyAlignment="1">
      <alignment horizontal="center" vertical="center"/>
    </xf>
    <xf numFmtId="3" fontId="165" fillId="23" borderId="42" xfId="128" applyNumberFormat="1" applyFont="1" applyFill="1" applyBorder="1" applyAlignment="1">
      <alignment horizontal="center" vertical="center" textRotation="90" wrapText="1"/>
    </xf>
    <xf numFmtId="3" fontId="165" fillId="23" borderId="45" xfId="8" applyNumberFormat="1" applyFont="1" applyFill="1" applyBorder="1" applyAlignment="1">
      <alignment horizontal="center" vertical="center" wrapText="1"/>
    </xf>
    <xf numFmtId="3" fontId="165" fillId="23" borderId="35" xfId="8" applyNumberFormat="1" applyFont="1" applyFill="1" applyBorder="1" applyAlignment="1">
      <alignment horizontal="center" vertical="center" textRotation="90" wrapText="1"/>
    </xf>
    <xf numFmtId="3" fontId="165" fillId="23" borderId="48" xfId="8" applyNumberFormat="1" applyFont="1" applyFill="1" applyBorder="1" applyAlignment="1">
      <alignment horizontal="center" vertical="center" textRotation="90" wrapText="1"/>
    </xf>
    <xf numFmtId="3" fontId="165" fillId="23" borderId="36" xfId="8" applyNumberFormat="1" applyFont="1" applyFill="1" applyBorder="1" applyAlignment="1">
      <alignment horizontal="center" vertical="center" textRotation="90" wrapText="1"/>
    </xf>
    <xf numFmtId="0" fontId="33" fillId="0" borderId="0" xfId="125" applyFont="1" applyAlignment="1">
      <alignment horizontal="center" vertical="center"/>
    </xf>
    <xf numFmtId="3" fontId="165" fillId="23" borderId="8" xfId="128" applyNumberFormat="1" applyFont="1" applyFill="1" applyBorder="1" applyAlignment="1">
      <alignment horizontal="center" vertical="center" wrapText="1"/>
    </xf>
    <xf numFmtId="3" fontId="165" fillId="23" borderId="9" xfId="8" applyNumberFormat="1" applyFont="1" applyFill="1" applyBorder="1" applyAlignment="1">
      <alignment horizontal="center" vertical="center" wrapText="1"/>
    </xf>
    <xf numFmtId="3" fontId="165" fillId="0" borderId="71" xfId="8" applyNumberFormat="1" applyFont="1" applyBorder="1" applyAlignment="1">
      <alignment horizontal="center" vertical="center" wrapText="1"/>
    </xf>
    <xf numFmtId="3" fontId="165" fillId="2" borderId="22" xfId="8" applyNumberFormat="1" applyFont="1" applyFill="1" applyBorder="1" applyAlignment="1">
      <alignment horizontal="center" vertical="center" wrapText="1"/>
    </xf>
    <xf numFmtId="3" fontId="165" fillId="2" borderId="23" xfId="8" applyNumberFormat="1" applyFont="1" applyFill="1" applyBorder="1" applyAlignment="1">
      <alignment horizontal="center" vertical="center" wrapText="1"/>
    </xf>
    <xf numFmtId="3" fontId="165" fillId="23" borderId="11" xfId="128" applyNumberFormat="1" applyFont="1" applyFill="1" applyBorder="1" applyAlignment="1">
      <alignment horizontal="center" vertical="center" wrapText="1"/>
    </xf>
    <xf numFmtId="3" fontId="165" fillId="23" borderId="12" xfId="8" applyNumberFormat="1" applyFont="1" applyFill="1" applyBorder="1" applyAlignment="1">
      <alignment horizontal="center" vertical="center" wrapText="1"/>
    </xf>
    <xf numFmtId="3" fontId="165" fillId="0" borderId="27" xfId="8" applyNumberFormat="1" applyFont="1" applyBorder="1" applyAlignment="1">
      <alignment horizontal="center" vertical="center" wrapText="1"/>
    </xf>
    <xf numFmtId="3" fontId="165" fillId="2" borderId="92" xfId="8" applyNumberFormat="1" applyFont="1" applyFill="1" applyBorder="1" applyAlignment="1">
      <alignment horizontal="center" vertical="center" wrapText="1"/>
    </xf>
    <xf numFmtId="3" fontId="165" fillId="2" borderId="26" xfId="8" applyNumberFormat="1" applyFont="1" applyFill="1" applyBorder="1" applyAlignment="1">
      <alignment horizontal="center" vertical="center" wrapText="1"/>
    </xf>
    <xf numFmtId="3" fontId="165" fillId="23" borderId="52" xfId="128" applyNumberFormat="1" applyFont="1" applyFill="1" applyBorder="1" applyAlignment="1">
      <alignment horizontal="center" vertical="center" wrapText="1"/>
    </xf>
    <xf numFmtId="3" fontId="165" fillId="23" borderId="33" xfId="8" applyNumberFormat="1" applyFont="1" applyFill="1" applyBorder="1" applyAlignment="1">
      <alignment horizontal="center" vertical="center" wrapText="1"/>
    </xf>
    <xf numFmtId="3" fontId="165" fillId="2" borderId="27" xfId="8" applyNumberFormat="1" applyFont="1" applyFill="1" applyBorder="1" applyAlignment="1">
      <alignment horizontal="center" vertical="center" wrapText="1"/>
    </xf>
    <xf numFmtId="3" fontId="165" fillId="24" borderId="68" xfId="8" applyNumberFormat="1" applyFont="1" applyFill="1" applyBorder="1" applyAlignment="1">
      <alignment horizontal="center" vertical="center" wrapText="1"/>
    </xf>
    <xf numFmtId="0" fontId="166" fillId="0" borderId="0" xfId="125" applyFont="1" applyAlignment="1">
      <alignment horizontal="right" vertical="center"/>
    </xf>
    <xf numFmtId="0" fontId="166" fillId="0" borderId="0" xfId="125" applyFont="1" applyAlignment="1">
      <alignment horizontal="center" vertical="center"/>
    </xf>
    <xf numFmtId="0" fontId="122" fillId="0" borderId="0" xfId="125" applyFont="1" applyAlignment="1">
      <alignment horizontal="center" vertical="center"/>
    </xf>
    <xf numFmtId="3" fontId="122" fillId="0" borderId="0" xfId="125" applyNumberFormat="1" applyFont="1" applyAlignment="1">
      <alignment horizontal="center" vertical="center"/>
    </xf>
    <xf numFmtId="0" fontId="9" fillId="0" borderId="0" xfId="129" applyFont="1"/>
    <xf numFmtId="2" fontId="32" fillId="2" borderId="92" xfId="129" applyNumberFormat="1" applyFont="1" applyFill="1" applyBorder="1" applyAlignment="1">
      <alignment horizontal="center" vertical="center"/>
    </xf>
    <xf numFmtId="3" fontId="168" fillId="2" borderId="92" xfId="130" applyNumberFormat="1" applyFont="1" applyFill="1" applyBorder="1" applyAlignment="1">
      <alignment horizontal="center" vertical="center"/>
    </xf>
    <xf numFmtId="0" fontId="32" fillId="2" borderId="92" xfId="129" applyFont="1" applyFill="1" applyBorder="1" applyAlignment="1">
      <alignment horizontal="center" vertical="center"/>
    </xf>
    <xf numFmtId="3" fontId="168" fillId="0" borderId="92" xfId="129" applyNumberFormat="1" applyFont="1" applyBorder="1" applyAlignment="1">
      <alignment horizontal="center" vertical="center"/>
    </xf>
    <xf numFmtId="3" fontId="168" fillId="2" borderId="92" xfId="129" applyNumberFormat="1" applyFont="1" applyFill="1" applyBorder="1" applyAlignment="1">
      <alignment horizontal="center" vertical="center"/>
    </xf>
    <xf numFmtId="4" fontId="168" fillId="2" borderId="92" xfId="129" applyNumberFormat="1" applyFont="1" applyFill="1" applyBorder="1" applyAlignment="1">
      <alignment horizontal="center" vertical="center"/>
    </xf>
    <xf numFmtId="165" fontId="32" fillId="2" borderId="92" xfId="129" applyNumberFormat="1" applyFont="1" applyFill="1" applyBorder="1" applyAlignment="1">
      <alignment horizontal="center" vertical="center"/>
    </xf>
    <xf numFmtId="3" fontId="9" fillId="0" borderId="0" xfId="129" applyNumberFormat="1" applyFont="1"/>
    <xf numFmtId="1" fontId="9" fillId="0" borderId="0" xfId="129" applyNumberFormat="1" applyFont="1"/>
    <xf numFmtId="0" fontId="21" fillId="0" borderId="92" xfId="8" applyFont="1" applyBorder="1" applyAlignment="1">
      <alignment horizontal="center" vertical="center"/>
    </xf>
    <xf numFmtId="0" fontId="21" fillId="0" borderId="92" xfId="8" applyFont="1" applyBorder="1" applyAlignment="1">
      <alignment horizontal="center" vertical="center" wrapText="1"/>
    </xf>
    <xf numFmtId="3" fontId="89" fillId="0" borderId="92" xfId="8" applyNumberFormat="1" applyFont="1" applyBorder="1" applyAlignment="1">
      <alignment horizontal="center" vertical="center"/>
    </xf>
    <xf numFmtId="3" fontId="89" fillId="2" borderId="92" xfId="8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top"/>
    </xf>
    <xf numFmtId="0" fontId="25" fillId="2" borderId="92" xfId="8" applyFont="1" applyFill="1" applyBorder="1" applyAlignment="1">
      <alignment horizontal="center" vertical="center"/>
    </xf>
    <xf numFmtId="0" fontId="169" fillId="2" borderId="92" xfId="8" applyFont="1" applyFill="1" applyBorder="1" applyAlignment="1">
      <alignment horizontal="center" vertical="center"/>
    </xf>
    <xf numFmtId="0" fontId="25" fillId="2" borderId="92" xfId="131" applyFont="1" applyFill="1" applyBorder="1" applyAlignment="1">
      <alignment horizontal="center" vertical="center"/>
    </xf>
    <xf numFmtId="0" fontId="25" fillId="2" borderId="93" xfId="131" applyFont="1" applyFill="1" applyBorder="1" applyAlignment="1">
      <alignment horizontal="center" vertical="center"/>
    </xf>
    <xf numFmtId="0" fontId="25" fillId="0" borderId="92" xfId="131" applyFont="1" applyBorder="1" applyAlignment="1">
      <alignment horizontal="center" vertical="center"/>
    </xf>
    <xf numFmtId="1" fontId="25" fillId="0" borderId="92" xfId="131" applyNumberFormat="1" applyFont="1" applyBorder="1" applyAlignment="1">
      <alignment horizontal="center" vertical="center"/>
    </xf>
    <xf numFmtId="0" fontId="9" fillId="0" borderId="0" xfId="8" applyFont="1" applyAlignment="1">
      <alignment horizontal="left" vertical="center"/>
    </xf>
    <xf numFmtId="0" fontId="9" fillId="0" borderId="0" xfId="132" applyFont="1" applyAlignment="1">
      <alignment horizontal="left" vertical="center"/>
    </xf>
    <xf numFmtId="0" fontId="170" fillId="2" borderId="0" xfId="8" applyFont="1" applyFill="1"/>
    <xf numFmtId="0" fontId="7" fillId="0" borderId="0" xfId="8" applyAlignment="1">
      <alignment readingOrder="2"/>
    </xf>
    <xf numFmtId="0" fontId="7" fillId="0" borderId="92" xfId="8" applyBorder="1"/>
    <xf numFmtId="0" fontId="7" fillId="0" borderId="63" xfId="8" applyBorder="1"/>
    <xf numFmtId="0" fontId="7" fillId="5" borderId="92" xfId="8" applyFill="1" applyBorder="1"/>
    <xf numFmtId="1" fontId="171" fillId="0" borderId="92" xfId="8" applyNumberFormat="1" applyFont="1" applyBorder="1"/>
    <xf numFmtId="0" fontId="7" fillId="2" borderId="92" xfId="8" applyFill="1" applyBorder="1"/>
    <xf numFmtId="1" fontId="7" fillId="2" borderId="92" xfId="8" applyNumberFormat="1" applyFill="1" applyBorder="1" applyAlignment="1">
      <alignment horizontal="center" wrapText="1"/>
    </xf>
    <xf numFmtId="1" fontId="171" fillId="2" borderId="92" xfId="8" applyNumberFormat="1" applyFont="1" applyFill="1" applyBorder="1"/>
    <xf numFmtId="1" fontId="7" fillId="5" borderId="92" xfId="8" applyNumberFormat="1" applyFill="1" applyBorder="1" applyAlignment="1">
      <alignment wrapText="1"/>
    </xf>
    <xf numFmtId="1" fontId="171" fillId="5" borderId="92" xfId="8" applyNumberFormat="1" applyFont="1" applyFill="1" applyBorder="1"/>
    <xf numFmtId="165" fontId="171" fillId="26" borderId="0" xfId="8" applyNumberFormat="1" applyFont="1" applyFill="1"/>
    <xf numFmtId="1" fontId="7" fillId="5" borderId="92" xfId="8" applyNumberFormat="1" applyFill="1" applyBorder="1"/>
    <xf numFmtId="1" fontId="7" fillId="2" borderId="92" xfId="8" applyNumberFormat="1" applyFill="1" applyBorder="1" applyAlignment="1">
      <alignment horizontal="center"/>
    </xf>
    <xf numFmtId="1" fontId="7" fillId="2" borderId="92" xfId="8" applyNumberFormat="1" applyFill="1" applyBorder="1" applyAlignment="1">
      <alignment wrapText="1"/>
    </xf>
    <xf numFmtId="0" fontId="7" fillId="2" borderId="0" xfId="8" applyFill="1"/>
    <xf numFmtId="0" fontId="172" fillId="0" borderId="0" xfId="8" applyFont="1"/>
    <xf numFmtId="0" fontId="171" fillId="0" borderId="0" xfId="8" applyFont="1"/>
    <xf numFmtId="165" fontId="171" fillId="0" borderId="0" xfId="8" applyNumberFormat="1" applyFont="1"/>
    <xf numFmtId="0" fontId="24" fillId="0" borderId="35" xfId="8" applyFont="1" applyBorder="1" applyAlignment="1">
      <alignment horizontal="center" vertical="center" wrapText="1"/>
    </xf>
    <xf numFmtId="0" fontId="24" fillId="2" borderId="48" xfId="8" applyFont="1" applyFill="1" applyBorder="1" applyAlignment="1">
      <alignment horizontal="center" vertical="center" wrapText="1"/>
    </xf>
    <xf numFmtId="0" fontId="24" fillId="0" borderId="48" xfId="8" applyFont="1" applyBorder="1" applyAlignment="1">
      <alignment horizontal="center" vertical="center"/>
    </xf>
    <xf numFmtId="0" fontId="24" fillId="0" borderId="36" xfId="8" applyFont="1" applyBorder="1" applyAlignment="1">
      <alignment horizontal="center" vertical="center" wrapText="1"/>
    </xf>
    <xf numFmtId="0" fontId="71" fillId="0" borderId="21" xfId="8" applyFont="1" applyBorder="1" applyAlignment="1">
      <alignment horizontal="center" vertical="center"/>
    </xf>
    <xf numFmtId="1" fontId="82" fillId="0" borderId="22" xfId="8" applyNumberFormat="1" applyFont="1" applyBorder="1" applyAlignment="1">
      <alignment horizontal="center" vertical="center" wrapText="1" readingOrder="2"/>
    </xf>
    <xf numFmtId="0" fontId="82" fillId="0" borderId="22" xfId="8" applyFont="1" applyBorder="1" applyAlignment="1">
      <alignment horizontal="center" vertical="center" wrapText="1" readingOrder="2"/>
    </xf>
    <xf numFmtId="1" fontId="82" fillId="2" borderId="22" xfId="8" applyNumberFormat="1" applyFont="1" applyFill="1" applyBorder="1" applyAlignment="1">
      <alignment horizontal="center" vertical="center" wrapText="1" readingOrder="2"/>
    </xf>
    <xf numFmtId="165" fontId="32" fillId="0" borderId="71" xfId="8" applyNumberFormat="1" applyFont="1" applyBorder="1" applyAlignment="1">
      <alignment horizontal="center" vertical="center" wrapText="1" readingOrder="2"/>
    </xf>
    <xf numFmtId="0" fontId="9" fillId="27" borderId="0" xfId="8" applyFont="1" applyFill="1" applyAlignment="1">
      <alignment vertical="center"/>
    </xf>
    <xf numFmtId="0" fontId="7" fillId="0" borderId="0" xfId="22" applyAlignment="1">
      <alignment vertical="center" wrapText="1"/>
    </xf>
    <xf numFmtId="0" fontId="71" fillId="0" borderId="24" xfId="8" applyFont="1" applyBorder="1" applyAlignment="1">
      <alignment horizontal="center" vertical="center"/>
    </xf>
    <xf numFmtId="1" fontId="82" fillId="0" borderId="92" xfId="8" applyNumberFormat="1" applyFont="1" applyBorder="1" applyAlignment="1">
      <alignment horizontal="center" vertical="center" wrapText="1" readingOrder="2"/>
    </xf>
    <xf numFmtId="0" fontId="82" fillId="0" borderId="92" xfId="8" applyFont="1" applyBorder="1" applyAlignment="1">
      <alignment horizontal="center" vertical="center" wrapText="1" readingOrder="2"/>
    </xf>
    <xf numFmtId="1" fontId="82" fillId="2" borderId="49" xfId="8" applyNumberFormat="1" applyFont="1" applyFill="1" applyBorder="1" applyAlignment="1">
      <alignment horizontal="center" vertical="center" wrapText="1" readingOrder="2"/>
    </xf>
    <xf numFmtId="165" fontId="32" fillId="0" borderId="27" xfId="8" applyNumberFormat="1" applyFont="1" applyBorder="1" applyAlignment="1">
      <alignment horizontal="center" vertical="center" wrapText="1" readingOrder="2"/>
    </xf>
    <xf numFmtId="0" fontId="71" fillId="0" borderId="30" xfId="8" applyFont="1" applyBorder="1" applyAlignment="1">
      <alignment horizontal="center" vertical="center"/>
    </xf>
    <xf numFmtId="1" fontId="82" fillId="0" borderId="31" xfId="8" applyNumberFormat="1" applyFont="1" applyBorder="1" applyAlignment="1">
      <alignment horizontal="center" vertical="center" wrapText="1" readingOrder="2"/>
    </xf>
    <xf numFmtId="0" fontId="82" fillId="0" borderId="31" xfId="8" applyFont="1" applyBorder="1" applyAlignment="1">
      <alignment horizontal="center" vertical="center" wrapText="1" readingOrder="2"/>
    </xf>
    <xf numFmtId="1" fontId="82" fillId="2" borderId="58" xfId="8" applyNumberFormat="1" applyFont="1" applyFill="1" applyBorder="1" applyAlignment="1">
      <alignment horizontal="center" vertical="center" wrapText="1" readingOrder="2"/>
    </xf>
    <xf numFmtId="0" fontId="82" fillId="0" borderId="32" xfId="8" applyFont="1" applyBorder="1" applyAlignment="1">
      <alignment horizontal="center" vertical="center"/>
    </xf>
    <xf numFmtId="0" fontId="71" fillId="0" borderId="37" xfId="8" applyFont="1" applyBorder="1" applyAlignment="1">
      <alignment horizontal="center" vertical="center"/>
    </xf>
    <xf numFmtId="0" fontId="82" fillId="0" borderId="49" xfId="8" applyFont="1" applyBorder="1" applyAlignment="1">
      <alignment horizontal="center" vertical="center" wrapText="1" readingOrder="2"/>
    </xf>
    <xf numFmtId="1" fontId="82" fillId="0" borderId="49" xfId="8" applyNumberFormat="1" applyFont="1" applyBorder="1" applyAlignment="1">
      <alignment horizontal="center" vertical="center" wrapText="1" readingOrder="2"/>
    </xf>
    <xf numFmtId="0" fontId="82" fillId="0" borderId="38" xfId="8" applyFont="1" applyBorder="1" applyAlignment="1">
      <alignment horizontal="center" vertical="center"/>
    </xf>
    <xf numFmtId="0" fontId="73" fillId="0" borderId="24" xfId="8" applyFont="1" applyBorder="1" applyAlignment="1">
      <alignment horizontal="center" vertical="center"/>
    </xf>
    <xf numFmtId="0" fontId="30" fillId="0" borderId="26" xfId="8" applyFont="1" applyBorder="1" applyAlignment="1">
      <alignment vertical="center"/>
    </xf>
    <xf numFmtId="0" fontId="24" fillId="2" borderId="24" xfId="8" applyFont="1" applyFill="1" applyBorder="1" applyAlignment="1">
      <alignment horizontal="center" vertical="center"/>
    </xf>
    <xf numFmtId="165" fontId="32" fillId="0" borderId="79" xfId="8" applyNumberFormat="1" applyFont="1" applyBorder="1" applyAlignment="1">
      <alignment horizontal="center" vertical="center" wrapText="1" readingOrder="2"/>
    </xf>
    <xf numFmtId="0" fontId="24" fillId="2" borderId="30" xfId="8" applyFont="1" applyFill="1" applyBorder="1" applyAlignment="1">
      <alignment horizontal="center" vertical="center"/>
    </xf>
    <xf numFmtId="1" fontId="82" fillId="2" borderId="31" xfId="8" applyNumberFormat="1" applyFont="1" applyFill="1" applyBorder="1" applyAlignment="1">
      <alignment horizontal="center" vertical="center" wrapText="1" readingOrder="2"/>
    </xf>
    <xf numFmtId="1" fontId="24" fillId="0" borderId="35" xfId="8" applyNumberFormat="1" applyFont="1" applyBorder="1" applyAlignment="1">
      <alignment horizontal="center" vertical="center"/>
    </xf>
    <xf numFmtId="1" fontId="82" fillId="2" borderId="48" xfId="8" applyNumberFormat="1" applyFont="1" applyFill="1" applyBorder="1" applyAlignment="1">
      <alignment horizontal="center" vertical="center" readingOrder="2"/>
    </xf>
    <xf numFmtId="1" fontId="82" fillId="0" borderId="48" xfId="8" applyNumberFormat="1" applyFont="1" applyBorder="1" applyAlignment="1">
      <alignment horizontal="center" vertical="center" readingOrder="2"/>
    </xf>
    <xf numFmtId="1" fontId="82" fillId="0" borderId="36" xfId="8" applyNumberFormat="1" applyFont="1" applyBorder="1" applyAlignment="1">
      <alignment horizontal="center" vertical="center"/>
    </xf>
    <xf numFmtId="0" fontId="61" fillId="0" borderId="0" xfId="22" applyFont="1" applyAlignment="1">
      <alignment horizontal="center"/>
    </xf>
    <xf numFmtId="0" fontId="21" fillId="0" borderId="32" xfId="22" applyFont="1" applyBorder="1" applyAlignment="1">
      <alignment horizontal="center" vertical="center"/>
    </xf>
    <xf numFmtId="0" fontId="24" fillId="0" borderId="47" xfId="8" applyFont="1" applyBorder="1"/>
    <xf numFmtId="0" fontId="24" fillId="0" borderId="4" xfId="22" applyFont="1" applyBorder="1"/>
    <xf numFmtId="9" fontId="82" fillId="0" borderId="7" xfId="3" applyFont="1" applyFill="1" applyBorder="1" applyAlignment="1">
      <alignment horizontal="right" vertical="center" indent="2"/>
    </xf>
    <xf numFmtId="0" fontId="87" fillId="0" borderId="69" xfId="8" applyFont="1" applyBorder="1" applyAlignment="1">
      <alignment horizontal="center" vertical="center"/>
    </xf>
    <xf numFmtId="0" fontId="87" fillId="0" borderId="38" xfId="8" applyFont="1" applyBorder="1" applyAlignment="1">
      <alignment horizontal="center" vertical="center"/>
    </xf>
    <xf numFmtId="0" fontId="82" fillId="0" borderId="40" xfId="8" applyFont="1" applyBorder="1" applyAlignment="1">
      <alignment horizontal="right" vertical="center" indent="2"/>
    </xf>
    <xf numFmtId="1" fontId="82" fillId="0" borderId="34" xfId="8" applyNumberFormat="1" applyFont="1" applyBorder="1" applyAlignment="1">
      <alignment horizontal="right" vertical="center" indent="2"/>
    </xf>
    <xf numFmtId="3" fontId="82" fillId="0" borderId="69" xfId="8" applyNumberFormat="1" applyFont="1" applyBorder="1" applyAlignment="1">
      <alignment horizontal="right" vertical="center" indent="2"/>
    </xf>
    <xf numFmtId="9" fontId="82" fillId="0" borderId="76" xfId="3" applyFont="1" applyFill="1" applyBorder="1" applyAlignment="1">
      <alignment horizontal="right" vertical="center" indent="2"/>
    </xf>
    <xf numFmtId="0" fontId="75" fillId="0" borderId="20" xfId="22" applyFont="1" applyBorder="1" applyAlignment="1">
      <alignment vertical="top" wrapText="1"/>
    </xf>
    <xf numFmtId="0" fontId="75" fillId="0" borderId="0" xfId="22" applyFont="1" applyAlignment="1">
      <alignment vertical="center" wrapText="1" readingOrder="2"/>
    </xf>
    <xf numFmtId="0" fontId="9" fillId="0" borderId="0" xfId="22" applyFont="1" applyAlignment="1">
      <alignment readingOrder="2"/>
    </xf>
    <xf numFmtId="0" fontId="12" fillId="0" borderId="7" xfId="8" applyFont="1" applyBorder="1" applyAlignment="1">
      <alignment horizontal="center" vertical="center"/>
    </xf>
    <xf numFmtId="3" fontId="32" fillId="0" borderId="7" xfId="8" applyNumberFormat="1" applyFont="1" applyBorder="1" applyAlignment="1">
      <alignment horizontal="center" vertical="center"/>
    </xf>
    <xf numFmtId="3" fontId="32" fillId="2" borderId="7" xfId="8" applyNumberFormat="1" applyFont="1" applyFill="1" applyBorder="1" applyAlignment="1">
      <alignment horizontal="center" vertical="center"/>
    </xf>
    <xf numFmtId="9" fontId="32" fillId="0" borderId="7" xfId="8" applyNumberFormat="1" applyFont="1" applyBorder="1" applyAlignment="1">
      <alignment horizontal="center" vertical="center"/>
    </xf>
    <xf numFmtId="3" fontId="32" fillId="0" borderId="19" xfId="8" applyNumberFormat="1" applyFont="1" applyBorder="1" applyAlignment="1">
      <alignment horizontal="center" vertical="center"/>
    </xf>
    <xf numFmtId="0" fontId="9" fillId="0" borderId="0" xfId="8" applyFont="1" applyAlignment="1">
      <alignment horizontal="right" vertical="center" wrapText="1" readingOrder="2"/>
    </xf>
    <xf numFmtId="0" fontId="30" fillId="0" borderId="0" xfId="134"/>
    <xf numFmtId="0" fontId="180" fillId="2" borderId="42" xfId="134" applyFont="1" applyFill="1" applyBorder="1" applyAlignment="1">
      <alignment horizontal="center" vertical="center"/>
    </xf>
    <xf numFmtId="0" fontId="180" fillId="2" borderId="45" xfId="134" applyFont="1" applyFill="1" applyBorder="1" applyAlignment="1">
      <alignment horizontal="center" vertical="center"/>
    </xf>
    <xf numFmtId="0" fontId="180" fillId="2" borderId="68" xfId="134" applyFont="1" applyFill="1" applyBorder="1" applyAlignment="1">
      <alignment horizontal="center" vertical="center"/>
    </xf>
    <xf numFmtId="0" fontId="180" fillId="2" borderId="48" xfId="134" applyFont="1" applyFill="1" applyBorder="1" applyAlignment="1">
      <alignment horizontal="center" vertical="center"/>
    </xf>
    <xf numFmtId="0" fontId="181" fillId="2" borderId="36" xfId="134" applyFont="1" applyFill="1" applyBorder="1" applyAlignment="1">
      <alignment horizontal="center" vertical="center"/>
    </xf>
    <xf numFmtId="0" fontId="18" fillId="2" borderId="65" xfId="134" applyFont="1" applyFill="1" applyBorder="1" applyAlignment="1">
      <alignment horizontal="center" vertical="center"/>
    </xf>
    <xf numFmtId="0" fontId="24" fillId="0" borderId="92" xfId="135" applyFont="1" applyBorder="1" applyAlignment="1">
      <alignment horizontal="center" vertical="center"/>
    </xf>
    <xf numFmtId="3" fontId="24" fillId="0" borderId="92" xfId="135" applyNumberFormat="1" applyFont="1" applyBorder="1" applyAlignment="1">
      <alignment horizontal="center"/>
    </xf>
    <xf numFmtId="3" fontId="182" fillId="2" borderId="92" xfId="135" applyNumberFormat="1" applyFont="1" applyFill="1" applyBorder="1" applyAlignment="1">
      <alignment horizontal="center"/>
    </xf>
    <xf numFmtId="0" fontId="18" fillId="2" borderId="11" xfId="134" applyFont="1" applyFill="1" applyBorder="1" applyAlignment="1">
      <alignment horizontal="center" vertical="center"/>
    </xf>
    <xf numFmtId="3" fontId="24" fillId="2" borderId="92" xfId="135" applyNumberFormat="1" applyFont="1" applyFill="1" applyBorder="1" applyAlignment="1">
      <alignment horizontal="center"/>
    </xf>
    <xf numFmtId="169" fontId="182" fillId="0" borderId="92" xfId="124" applyNumberFormat="1" applyFont="1" applyBorder="1" applyAlignment="1">
      <alignment horizontal="center"/>
    </xf>
    <xf numFmtId="3" fontId="24" fillId="0" borderId="49" xfId="23" applyNumberFormat="1" applyFont="1" applyBorder="1" applyAlignment="1">
      <alignment horizontal="center"/>
    </xf>
    <xf numFmtId="3" fontId="183" fillId="0" borderId="92" xfId="135" applyNumberFormat="1" applyFont="1" applyBorder="1" applyAlignment="1">
      <alignment horizontal="center" vertical="center" readingOrder="2"/>
    </xf>
    <xf numFmtId="3" fontId="182" fillId="0" borderId="92" xfId="135" applyNumberFormat="1" applyFont="1" applyBorder="1" applyAlignment="1">
      <alignment horizontal="center"/>
    </xf>
    <xf numFmtId="3" fontId="24" fillId="0" borderId="92" xfId="23" applyNumberFormat="1" applyFont="1" applyBorder="1" applyAlignment="1">
      <alignment horizontal="center"/>
    </xf>
    <xf numFmtId="1" fontId="24" fillId="0" borderId="92" xfId="135" applyNumberFormat="1" applyFont="1" applyBorder="1" applyAlignment="1">
      <alignment horizontal="center"/>
    </xf>
    <xf numFmtId="1" fontId="24" fillId="0" borderId="92" xfId="23" applyNumberFormat="1" applyFont="1" applyBorder="1" applyAlignment="1">
      <alignment horizontal="center"/>
    </xf>
    <xf numFmtId="1" fontId="24" fillId="2" borderId="92" xfId="135" applyNumberFormat="1" applyFont="1" applyFill="1" applyBorder="1" applyAlignment="1">
      <alignment horizontal="center"/>
    </xf>
    <xf numFmtId="0" fontId="24" fillId="0" borderId="92" xfId="135" applyFont="1" applyBorder="1" applyAlignment="1">
      <alignment horizontal="center"/>
    </xf>
    <xf numFmtId="1" fontId="182" fillId="0" borderId="92" xfId="135" applyNumberFormat="1" applyFont="1" applyBorder="1" applyAlignment="1">
      <alignment horizontal="center"/>
    </xf>
    <xf numFmtId="1" fontId="24" fillId="0" borderId="49" xfId="135" applyNumberFormat="1" applyFont="1" applyBorder="1" applyAlignment="1">
      <alignment horizontal="center"/>
    </xf>
    <xf numFmtId="165" fontId="182" fillId="0" borderId="92" xfId="135" applyNumberFormat="1" applyFont="1" applyBorder="1" applyAlignment="1">
      <alignment horizontal="center"/>
    </xf>
    <xf numFmtId="1" fontId="24" fillId="2" borderId="0" xfId="134" applyNumberFormat="1" applyFont="1" applyFill="1" applyAlignment="1">
      <alignment horizontal="center"/>
    </xf>
    <xf numFmtId="4" fontId="24" fillId="0" borderId="92" xfId="135" applyNumberFormat="1" applyFont="1" applyBorder="1" applyAlignment="1">
      <alignment horizontal="center"/>
    </xf>
    <xf numFmtId="2" fontId="182" fillId="0" borderId="92" xfId="135" applyNumberFormat="1" applyFont="1" applyBorder="1" applyAlignment="1">
      <alignment horizontal="center"/>
    </xf>
    <xf numFmtId="3" fontId="24" fillId="0" borderId="0" xfId="134" applyNumberFormat="1" applyFont="1" applyAlignment="1">
      <alignment horizontal="center"/>
    </xf>
    <xf numFmtId="0" fontId="24" fillId="2" borderId="92" xfId="136" applyFont="1" applyFill="1" applyBorder="1" applyAlignment="1">
      <alignment horizontal="center" vertical="center"/>
    </xf>
    <xf numFmtId="3" fontId="24" fillId="2" borderId="92" xfId="136" applyNumberFormat="1" applyFont="1" applyFill="1" applyBorder="1" applyAlignment="1">
      <alignment horizontal="center"/>
    </xf>
    <xf numFmtId="0" fontId="18" fillId="2" borderId="14" xfId="134" applyFont="1" applyFill="1" applyBorder="1" applyAlignment="1">
      <alignment horizontal="center" vertical="center"/>
    </xf>
    <xf numFmtId="0" fontId="9" fillId="0" borderId="0" xfId="137" applyFont="1"/>
    <xf numFmtId="0" fontId="43" fillId="0" borderId="60" xfId="137" applyFont="1" applyBorder="1" applyAlignment="1">
      <alignment horizontal="center" vertical="center"/>
    </xf>
    <xf numFmtId="0" fontId="43" fillId="0" borderId="61" xfId="137" applyFont="1" applyBorder="1" applyAlignment="1">
      <alignment horizontal="center" vertical="center"/>
    </xf>
    <xf numFmtId="0" fontId="43" fillId="0" borderId="62" xfId="137" applyFont="1" applyBorder="1" applyAlignment="1">
      <alignment horizontal="center" vertical="center"/>
    </xf>
    <xf numFmtId="0" fontId="43" fillId="0" borderId="0" xfId="137" applyFont="1" applyAlignment="1">
      <alignment horizontal="center" vertical="center"/>
    </xf>
    <xf numFmtId="0" fontId="43" fillId="0" borderId="64" xfId="137" applyFont="1" applyBorder="1" applyAlignment="1">
      <alignment horizontal="center" vertical="center"/>
    </xf>
    <xf numFmtId="0" fontId="43" fillId="0" borderId="58" xfId="137" applyFont="1" applyBorder="1" applyAlignment="1">
      <alignment horizontal="center" vertical="center"/>
    </xf>
    <xf numFmtId="0" fontId="43" fillId="0" borderId="59" xfId="137" applyFont="1" applyBorder="1" applyAlignment="1">
      <alignment horizontal="center" vertical="center"/>
    </xf>
    <xf numFmtId="0" fontId="32" fillId="0" borderId="145" xfId="8" applyFont="1" applyBorder="1" applyAlignment="1">
      <alignment horizontal="center" vertical="center"/>
    </xf>
    <xf numFmtId="0" fontId="32" fillId="0" borderId="146" xfId="8" applyFont="1" applyBorder="1" applyAlignment="1">
      <alignment horizontal="center" vertical="center"/>
    </xf>
    <xf numFmtId="0" fontId="32" fillId="0" borderId="147" xfId="8" applyFont="1" applyBorder="1" applyAlignment="1">
      <alignment horizontal="center" vertical="center"/>
    </xf>
    <xf numFmtId="0" fontId="40" fillId="0" borderId="0" xfId="137" applyFont="1" applyAlignment="1">
      <alignment horizontal="center" vertical="center"/>
    </xf>
    <xf numFmtId="0" fontId="9" fillId="0" borderId="69" xfId="137" applyFont="1" applyBorder="1" applyAlignment="1">
      <alignment horizontal="center" vertical="center"/>
    </xf>
    <xf numFmtId="0" fontId="32" fillId="0" borderId="148" xfId="8" applyFont="1" applyBorder="1" applyAlignment="1">
      <alignment horizontal="center" vertical="center"/>
    </xf>
    <xf numFmtId="0" fontId="32" fillId="0" borderId="149" xfId="8" applyFont="1" applyBorder="1" applyAlignment="1">
      <alignment horizontal="center" vertical="center"/>
    </xf>
    <xf numFmtId="0" fontId="32" fillId="0" borderId="150" xfId="8" applyFont="1" applyBorder="1" applyAlignment="1">
      <alignment horizontal="center" vertical="center"/>
    </xf>
    <xf numFmtId="0" fontId="40" fillId="0" borderId="60" xfId="137" applyFont="1" applyBorder="1" applyAlignment="1">
      <alignment horizontal="center" vertical="center"/>
    </xf>
    <xf numFmtId="0" fontId="9" fillId="0" borderId="4" xfId="137" applyFont="1" applyBorder="1" applyAlignment="1">
      <alignment horizontal="center" vertical="center"/>
    </xf>
    <xf numFmtId="0" fontId="40" fillId="0" borderId="77" xfId="137" applyFont="1" applyBorder="1" applyAlignment="1">
      <alignment horizontal="center" vertical="center"/>
    </xf>
    <xf numFmtId="0" fontId="9" fillId="0" borderId="7" xfId="137" applyFont="1" applyBorder="1" applyAlignment="1">
      <alignment horizontal="center" vertical="center"/>
    </xf>
    <xf numFmtId="0" fontId="32" fillId="0" borderId="151" xfId="8" applyFont="1" applyBorder="1" applyAlignment="1">
      <alignment horizontal="center" vertical="center"/>
    </xf>
    <xf numFmtId="0" fontId="32" fillId="0" borderId="152" xfId="8" applyFont="1" applyBorder="1" applyAlignment="1">
      <alignment horizontal="center" vertical="center"/>
    </xf>
    <xf numFmtId="0" fontId="32" fillId="0" borderId="153" xfId="8" applyFont="1" applyBorder="1" applyAlignment="1">
      <alignment horizontal="center" vertical="center"/>
    </xf>
    <xf numFmtId="0" fontId="100" fillId="0" borderId="152" xfId="8" applyFont="1" applyBorder="1" applyAlignment="1">
      <alignment horizontal="center" vertical="center"/>
    </xf>
    <xf numFmtId="0" fontId="32" fillId="0" borderId="154" xfId="8" applyFont="1" applyBorder="1" applyAlignment="1">
      <alignment horizontal="center" vertical="center"/>
    </xf>
    <xf numFmtId="0" fontId="32" fillId="0" borderId="77" xfId="8" applyFont="1" applyBorder="1" applyAlignment="1">
      <alignment horizontal="center" vertical="center"/>
    </xf>
    <xf numFmtId="0" fontId="32" fillId="0" borderId="79" xfId="8" applyFont="1" applyBorder="1" applyAlignment="1">
      <alignment horizontal="center" vertical="center"/>
    </xf>
    <xf numFmtId="0" fontId="32" fillId="0" borderId="7" xfId="8" applyFont="1" applyBorder="1" applyAlignment="1">
      <alignment horizontal="center" vertical="center"/>
    </xf>
    <xf numFmtId="0" fontId="100" fillId="0" borderId="147" xfId="8" applyFont="1" applyBorder="1" applyAlignment="1">
      <alignment horizontal="center" vertical="center"/>
    </xf>
    <xf numFmtId="0" fontId="40" fillId="0" borderId="0" xfId="8" applyFont="1" applyAlignment="1">
      <alignment horizontal="center" vertical="center"/>
    </xf>
    <xf numFmtId="0" fontId="32" fillId="0" borderId="157" xfId="8" applyFont="1" applyBorder="1" applyAlignment="1">
      <alignment horizontal="center" vertical="center"/>
    </xf>
    <xf numFmtId="0" fontId="40" fillId="2" borderId="0" xfId="8" applyFont="1" applyFill="1" applyAlignment="1">
      <alignment horizontal="center" vertical="center"/>
    </xf>
    <xf numFmtId="0" fontId="82" fillId="0" borderId="152" xfId="8" applyFont="1" applyBorder="1" applyAlignment="1">
      <alignment horizontal="center" vertical="center"/>
    </xf>
    <xf numFmtId="0" fontId="40" fillId="0" borderId="0" xfId="137" applyFont="1" applyAlignment="1">
      <alignment horizontal="center"/>
    </xf>
    <xf numFmtId="0" fontId="26" fillId="0" borderId="0" xfId="137" applyFont="1" applyAlignment="1">
      <alignment horizontal="center" vertical="center"/>
    </xf>
    <xf numFmtId="0" fontId="40" fillId="2" borderId="0" xfId="137" applyFont="1" applyFill="1" applyAlignment="1">
      <alignment horizontal="center"/>
    </xf>
    <xf numFmtId="0" fontId="32" fillId="0" borderId="158" xfId="8" applyFont="1" applyBorder="1" applyAlignment="1">
      <alignment horizontal="center" vertical="center"/>
    </xf>
    <xf numFmtId="0" fontId="32" fillId="0" borderId="159" xfId="8" applyFont="1" applyBorder="1" applyAlignment="1">
      <alignment horizontal="center" vertical="center"/>
    </xf>
    <xf numFmtId="0" fontId="32" fillId="0" borderId="160" xfId="8" applyFont="1" applyBorder="1" applyAlignment="1">
      <alignment horizontal="center" vertical="center"/>
    </xf>
    <xf numFmtId="0" fontId="32" fillId="0" borderId="5" xfId="8" applyFont="1" applyBorder="1" applyAlignment="1">
      <alignment horizontal="center" vertical="center"/>
    </xf>
    <xf numFmtId="0" fontId="32" fillId="0" borderId="78" xfId="8" applyFont="1" applyBorder="1" applyAlignment="1">
      <alignment horizontal="center" vertical="center"/>
    </xf>
    <xf numFmtId="0" fontId="32" fillId="0" borderId="161" xfId="8" applyFont="1" applyBorder="1" applyAlignment="1">
      <alignment horizontal="center" vertical="center"/>
    </xf>
    <xf numFmtId="0" fontId="32" fillId="0" borderId="162" xfId="8" applyFont="1" applyBorder="1" applyAlignment="1">
      <alignment horizontal="center" vertical="center"/>
    </xf>
    <xf numFmtId="0" fontId="184" fillId="0" borderId="162" xfId="8" applyFont="1" applyBorder="1" applyAlignment="1">
      <alignment horizontal="center" vertical="center"/>
    </xf>
    <xf numFmtId="0" fontId="32" fillId="0" borderId="163" xfId="8" applyFont="1" applyBorder="1" applyAlignment="1">
      <alignment horizontal="center" vertical="center"/>
    </xf>
    <xf numFmtId="0" fontId="40" fillId="0" borderId="5" xfId="137" applyFont="1" applyBorder="1" applyAlignment="1">
      <alignment horizontal="center"/>
    </xf>
    <xf numFmtId="0" fontId="32" fillId="0" borderId="164" xfId="8" applyFont="1" applyBorder="1" applyAlignment="1">
      <alignment horizontal="center" vertical="center"/>
    </xf>
    <xf numFmtId="0" fontId="32" fillId="0" borderId="165" xfId="8" applyFont="1" applyBorder="1" applyAlignment="1">
      <alignment horizontal="center" vertical="center"/>
    </xf>
    <xf numFmtId="0" fontId="32" fillId="0" borderId="166" xfId="8" applyFont="1" applyBorder="1" applyAlignment="1">
      <alignment horizontal="center" vertical="center"/>
    </xf>
    <xf numFmtId="0" fontId="66" fillId="0" borderId="0" xfId="137" applyFont="1"/>
    <xf numFmtId="0" fontId="32" fillId="0" borderId="167" xfId="8" applyFont="1" applyBorder="1" applyAlignment="1">
      <alignment horizontal="center" vertical="center"/>
    </xf>
    <xf numFmtId="0" fontId="32" fillId="0" borderId="168" xfId="8" applyFont="1" applyBorder="1" applyAlignment="1">
      <alignment horizontal="center" vertical="center"/>
    </xf>
    <xf numFmtId="0" fontId="32" fillId="0" borderId="169" xfId="8" applyFont="1" applyBorder="1" applyAlignment="1">
      <alignment horizontal="center" vertical="center"/>
    </xf>
    <xf numFmtId="0" fontId="40" fillId="0" borderId="5" xfId="137" applyFont="1" applyBorder="1" applyAlignment="1">
      <alignment horizontal="center" vertical="center"/>
    </xf>
    <xf numFmtId="0" fontId="32" fillId="0" borderId="170" xfId="8" applyFont="1" applyBorder="1" applyAlignment="1">
      <alignment horizontal="center" vertical="center"/>
    </xf>
    <xf numFmtId="0" fontId="32" fillId="0" borderId="171" xfId="8" applyFont="1" applyBorder="1" applyAlignment="1">
      <alignment horizontal="center" vertical="center"/>
    </xf>
    <xf numFmtId="0" fontId="32" fillId="0" borderId="172" xfId="8" applyFont="1" applyBorder="1" applyAlignment="1">
      <alignment horizontal="center" vertical="center"/>
    </xf>
    <xf numFmtId="0" fontId="40" fillId="0" borderId="173" xfId="137" applyFont="1" applyBorder="1" applyAlignment="1">
      <alignment horizontal="center"/>
    </xf>
    <xf numFmtId="0" fontId="9" fillId="0" borderId="47" xfId="137" applyFont="1" applyBorder="1" applyAlignment="1">
      <alignment horizontal="center" vertical="center"/>
    </xf>
    <xf numFmtId="0" fontId="32" fillId="4" borderId="151" xfId="8" applyFont="1" applyFill="1" applyBorder="1" applyAlignment="1">
      <alignment horizontal="center" vertical="center"/>
    </xf>
    <xf numFmtId="0" fontId="32" fillId="4" borderId="152" xfId="8" applyFont="1" applyFill="1" applyBorder="1" applyAlignment="1">
      <alignment horizontal="center" vertical="center"/>
    </xf>
    <xf numFmtId="0" fontId="32" fillId="4" borderId="153" xfId="8" applyFont="1" applyFill="1" applyBorder="1" applyAlignment="1">
      <alignment horizontal="center" vertical="center"/>
    </xf>
    <xf numFmtId="0" fontId="40" fillId="4" borderId="5" xfId="137" applyFont="1" applyFill="1" applyBorder="1" applyAlignment="1">
      <alignment horizontal="center" vertical="center"/>
    </xf>
    <xf numFmtId="0" fontId="9" fillId="4" borderId="69" xfId="137" applyFont="1" applyFill="1" applyBorder="1" applyAlignment="1">
      <alignment horizontal="center" vertical="center"/>
    </xf>
    <xf numFmtId="0" fontId="32" fillId="0" borderId="174" xfId="8" applyFont="1" applyBorder="1" applyAlignment="1">
      <alignment horizontal="center" vertical="center"/>
    </xf>
    <xf numFmtId="0" fontId="12" fillId="0" borderId="175" xfId="137" applyFont="1" applyBorder="1"/>
    <xf numFmtId="0" fontId="32" fillId="0" borderId="176" xfId="8" applyFont="1" applyBorder="1" applyAlignment="1">
      <alignment horizontal="center" vertical="center"/>
    </xf>
    <xf numFmtId="0" fontId="32" fillId="0" borderId="177" xfId="8" applyFont="1" applyBorder="1" applyAlignment="1">
      <alignment horizontal="center" vertical="center"/>
    </xf>
    <xf numFmtId="0" fontId="32" fillId="0" borderId="178" xfId="8" applyFont="1" applyBorder="1" applyAlignment="1">
      <alignment horizontal="center" vertical="center"/>
    </xf>
    <xf numFmtId="0" fontId="40" fillId="0" borderId="17" xfId="137" applyFont="1" applyBorder="1" applyAlignment="1">
      <alignment horizontal="center" vertical="center"/>
    </xf>
    <xf numFmtId="0" fontId="9" fillId="0" borderId="57" xfId="137" applyFont="1" applyBorder="1" applyAlignment="1">
      <alignment horizontal="center" vertical="center"/>
    </xf>
    <xf numFmtId="0" fontId="32" fillId="0" borderId="179" xfId="4" applyFont="1" applyBorder="1" applyAlignment="1">
      <alignment horizontal="center" vertical="center"/>
    </xf>
    <xf numFmtId="0" fontId="32" fillId="0" borderId="0" xfId="4" applyFont="1" applyAlignment="1">
      <alignment horizontal="center" vertical="center"/>
    </xf>
    <xf numFmtId="0" fontId="11" fillId="0" borderId="0" xfId="137" applyFont="1" applyAlignment="1">
      <alignment horizontal="center" vertical="center"/>
    </xf>
    <xf numFmtId="0" fontId="11" fillId="0" borderId="0" xfId="137" applyFont="1"/>
    <xf numFmtId="0" fontId="32" fillId="0" borderId="24" xfId="4" applyFont="1" applyBorder="1" applyAlignment="1">
      <alignment horizontal="center" vertical="center"/>
    </xf>
    <xf numFmtId="0" fontId="9" fillId="0" borderId="26" xfId="137" applyFont="1" applyBorder="1" applyAlignment="1">
      <alignment horizontal="center" vertical="center"/>
    </xf>
    <xf numFmtId="0" fontId="32" fillId="0" borderId="180" xfId="8" applyFont="1" applyBorder="1" applyAlignment="1">
      <alignment horizontal="center" vertical="center"/>
    </xf>
    <xf numFmtId="0" fontId="32" fillId="0" borderId="181" xfId="8" applyFont="1" applyBorder="1" applyAlignment="1">
      <alignment horizontal="center" vertical="center"/>
    </xf>
    <xf numFmtId="0" fontId="32" fillId="0" borderId="182" xfId="8" applyFont="1" applyBorder="1" applyAlignment="1">
      <alignment horizontal="center" vertical="center"/>
    </xf>
    <xf numFmtId="0" fontId="32" fillId="0" borderId="170" xfId="4" applyFont="1" applyBorder="1" applyAlignment="1">
      <alignment horizontal="center" vertical="center"/>
    </xf>
    <xf numFmtId="0" fontId="9" fillId="0" borderId="183" xfId="137" applyFont="1" applyBorder="1" applyAlignment="1">
      <alignment horizontal="center" vertical="center"/>
    </xf>
    <xf numFmtId="0" fontId="32" fillId="0" borderId="145" xfId="4" applyFont="1" applyBorder="1" applyAlignment="1">
      <alignment horizontal="center" vertical="center"/>
    </xf>
    <xf numFmtId="0" fontId="9" fillId="0" borderId="157" xfId="137" applyFont="1" applyBorder="1" applyAlignment="1">
      <alignment horizontal="center" vertical="center"/>
    </xf>
    <xf numFmtId="0" fontId="32" fillId="0" borderId="151" xfId="4" applyFont="1" applyBorder="1" applyAlignment="1">
      <alignment horizontal="center" vertical="center"/>
    </xf>
    <xf numFmtId="0" fontId="9" fillId="0" borderId="184" xfId="137" applyFont="1" applyBorder="1" applyAlignment="1">
      <alignment horizontal="center" vertical="center"/>
    </xf>
    <xf numFmtId="1" fontId="9" fillId="0" borderId="18" xfId="137" applyNumberFormat="1" applyFont="1" applyBorder="1" applyAlignment="1">
      <alignment horizontal="center" vertical="center"/>
    </xf>
    <xf numFmtId="0" fontId="24" fillId="0" borderId="0" xfId="8" applyFont="1" applyAlignment="1">
      <alignment vertical="center"/>
    </xf>
    <xf numFmtId="1" fontId="32" fillId="0" borderId="66" xfId="8" applyNumberFormat="1" applyFont="1" applyBorder="1" applyAlignment="1">
      <alignment horizontal="right" vertical="center" indent="2" readingOrder="2"/>
    </xf>
    <xf numFmtId="1" fontId="32" fillId="0" borderId="7" xfId="8" applyNumberFormat="1" applyFont="1" applyBorder="1" applyAlignment="1">
      <alignment horizontal="right" vertical="center" indent="2" readingOrder="2"/>
    </xf>
    <xf numFmtId="0" fontId="82" fillId="0" borderId="0" xfId="8" applyFont="1" applyAlignment="1">
      <alignment wrapText="1"/>
    </xf>
    <xf numFmtId="0" fontId="82" fillId="0" borderId="0" xfId="8" applyFont="1" applyAlignment="1">
      <alignment horizontal="center" vertical="center" wrapText="1"/>
    </xf>
    <xf numFmtId="0" fontId="30" fillId="0" borderId="0" xfId="139"/>
    <xf numFmtId="0" fontId="30" fillId="2" borderId="0" xfId="139" applyFill="1"/>
    <xf numFmtId="0" fontId="21" fillId="2" borderId="0" xfId="139" applyFont="1" applyFill="1" applyAlignment="1">
      <alignment vertical="center"/>
    </xf>
    <xf numFmtId="0" fontId="30" fillId="0" borderId="20" xfId="139" applyBorder="1"/>
    <xf numFmtId="0" fontId="185" fillId="0" borderId="0" xfId="140" applyAlignment="1" applyProtection="1"/>
    <xf numFmtId="0" fontId="30" fillId="0" borderId="0" xfId="138"/>
    <xf numFmtId="1" fontId="18" fillId="0" borderId="92" xfId="139" applyNumberFormat="1" applyFont="1" applyBorder="1" applyAlignment="1">
      <alignment horizontal="center" vertical="center"/>
    </xf>
    <xf numFmtId="0" fontId="18" fillId="0" borderId="92" xfId="139" applyFont="1" applyBorder="1" applyAlignment="1">
      <alignment horizontal="center" vertical="center"/>
    </xf>
    <xf numFmtId="0" fontId="18" fillId="0" borderId="28" xfId="4" applyFont="1" applyBorder="1" applyAlignment="1">
      <alignment horizontal="center" vertical="center"/>
    </xf>
    <xf numFmtId="0" fontId="18" fillId="0" borderId="40" xfId="4" applyFont="1" applyBorder="1" applyAlignment="1">
      <alignment horizontal="center" vertical="center"/>
    </xf>
    <xf numFmtId="1" fontId="18" fillId="0" borderId="77" xfId="134" applyNumberFormat="1" applyFont="1" applyBorder="1" applyAlignment="1">
      <alignment horizontal="center" vertical="center"/>
    </xf>
    <xf numFmtId="0" fontId="18" fillId="0" borderId="69" xfId="134" applyFont="1" applyBorder="1" applyAlignment="1">
      <alignment horizontal="center" vertical="center"/>
    </xf>
    <xf numFmtId="1" fontId="30" fillId="0" borderId="0" xfId="134" applyNumberFormat="1"/>
    <xf numFmtId="0" fontId="18" fillId="0" borderId="154" xfId="4" applyFont="1" applyBorder="1" applyAlignment="1">
      <alignment horizontal="center" vertical="center"/>
    </xf>
    <xf numFmtId="0" fontId="18" fillId="0" borderId="157" xfId="4" applyFont="1" applyBorder="1" applyAlignment="1">
      <alignment horizontal="center" vertical="center"/>
    </xf>
    <xf numFmtId="1" fontId="18" fillId="0" borderId="145" xfId="134" applyNumberFormat="1" applyFont="1" applyBorder="1" applyAlignment="1">
      <alignment horizontal="center" vertical="center"/>
    </xf>
    <xf numFmtId="1" fontId="18" fillId="0" borderId="157" xfId="134" applyNumberFormat="1" applyFont="1" applyBorder="1" applyAlignment="1">
      <alignment horizontal="center" vertical="center"/>
    </xf>
    <xf numFmtId="0" fontId="18" fillId="2" borderId="92" xfId="139" applyFont="1" applyFill="1" applyBorder="1" applyAlignment="1">
      <alignment horizontal="center" vertical="center"/>
    </xf>
    <xf numFmtId="0" fontId="18" fillId="2" borderId="154" xfId="4" applyFont="1" applyFill="1" applyBorder="1" applyAlignment="1">
      <alignment horizontal="center" vertical="center"/>
    </xf>
    <xf numFmtId="0" fontId="18" fillId="2" borderId="157" xfId="4" applyFont="1" applyFill="1" applyBorder="1" applyAlignment="1">
      <alignment horizontal="center" vertical="center"/>
    </xf>
    <xf numFmtId="1" fontId="18" fillId="2" borderId="92" xfId="139" applyNumberFormat="1" applyFont="1" applyFill="1" applyBorder="1" applyAlignment="1">
      <alignment horizontal="center" vertical="center"/>
    </xf>
    <xf numFmtId="0" fontId="18" fillId="0" borderId="28" xfId="139" applyFont="1" applyBorder="1" applyAlignment="1">
      <alignment horizontal="center" vertical="center"/>
    </xf>
    <xf numFmtId="0" fontId="18" fillId="0" borderId="181" xfId="4" applyFont="1" applyBorder="1" applyAlignment="1">
      <alignment horizontal="center" vertical="center"/>
    </xf>
    <xf numFmtId="0" fontId="18" fillId="0" borderId="209" xfId="4" applyFont="1" applyBorder="1" applyAlignment="1">
      <alignment horizontal="center" vertical="center"/>
    </xf>
    <xf numFmtId="0" fontId="18" fillId="0" borderId="190" xfId="4" applyFont="1" applyBorder="1" applyAlignment="1">
      <alignment horizontal="center" vertical="center"/>
    </xf>
    <xf numFmtId="0" fontId="18" fillId="0" borderId="184" xfId="4" applyFont="1" applyBorder="1" applyAlignment="1">
      <alignment horizontal="center" vertical="center"/>
    </xf>
    <xf numFmtId="0" fontId="75" fillId="0" borderId="0" xfId="137" applyFont="1"/>
    <xf numFmtId="0" fontId="87" fillId="23" borderId="72" xfId="23" applyFont="1" applyFill="1" applyBorder="1" applyAlignment="1">
      <alignment horizontal="center" vertical="center" wrapText="1" readingOrder="2"/>
    </xf>
    <xf numFmtId="0" fontId="87" fillId="23" borderId="49" xfId="23" applyFont="1" applyFill="1" applyBorder="1" applyAlignment="1">
      <alignment horizontal="center" vertical="center" wrapText="1" readingOrder="2"/>
    </xf>
    <xf numFmtId="0" fontId="87" fillId="23" borderId="38" xfId="23" applyFont="1" applyFill="1" applyBorder="1" applyAlignment="1">
      <alignment horizontal="center" vertical="center"/>
    </xf>
    <xf numFmtId="0" fontId="87" fillId="0" borderId="72" xfId="23" applyFont="1" applyBorder="1" applyAlignment="1">
      <alignment horizontal="center" vertical="center" wrapText="1" readingOrder="2"/>
    </xf>
    <xf numFmtId="0" fontId="87" fillId="0" borderId="49" xfId="23" applyFont="1" applyBorder="1" applyAlignment="1">
      <alignment horizontal="center" vertical="center" wrapText="1" readingOrder="2"/>
    </xf>
    <xf numFmtId="0" fontId="87" fillId="0" borderId="38" xfId="23" applyFont="1" applyBorder="1" applyAlignment="1">
      <alignment horizontal="center" vertical="center" wrapText="1" readingOrder="2"/>
    </xf>
    <xf numFmtId="0" fontId="87" fillId="0" borderId="23" xfId="23" applyFont="1" applyBorder="1" applyAlignment="1">
      <alignment horizontal="center" vertical="center" wrapText="1" readingOrder="2"/>
    </xf>
    <xf numFmtId="0" fontId="142" fillId="23" borderId="9" xfId="23" applyFont="1" applyFill="1" applyBorder="1" applyAlignment="1">
      <alignment horizontal="center" vertical="center" wrapText="1" readingOrder="2"/>
    </xf>
    <xf numFmtId="0" fontId="87" fillId="23" borderId="27" xfId="23" applyFont="1" applyFill="1" applyBorder="1" applyAlignment="1">
      <alignment horizontal="center" vertical="center" wrapText="1" readingOrder="2"/>
    </xf>
    <xf numFmtId="0" fontId="87" fillId="23" borderId="92" xfId="23" applyFont="1" applyFill="1" applyBorder="1" applyAlignment="1">
      <alignment horizontal="center" vertical="center" wrapText="1" readingOrder="2"/>
    </xf>
    <xf numFmtId="0" fontId="87" fillId="23" borderId="26" xfId="23" applyFont="1" applyFill="1" applyBorder="1" applyAlignment="1">
      <alignment horizontal="center" vertical="center"/>
    </xf>
    <xf numFmtId="0" fontId="87" fillId="0" borderId="27" xfId="23" applyFont="1" applyBorder="1" applyAlignment="1">
      <alignment horizontal="center" vertical="center" wrapText="1" readingOrder="2"/>
    </xf>
    <xf numFmtId="0" fontId="87" fillId="0" borderId="92" xfId="23" applyFont="1" applyBorder="1" applyAlignment="1">
      <alignment horizontal="center" vertical="center" wrapText="1" readingOrder="2"/>
    </xf>
    <xf numFmtId="0" fontId="87" fillId="0" borderId="26" xfId="23" applyFont="1" applyBorder="1" applyAlignment="1">
      <alignment horizontal="center" vertical="center" wrapText="1" readingOrder="2"/>
    </xf>
    <xf numFmtId="0" fontId="87" fillId="0" borderId="92" xfId="23" quotePrefix="1" applyFont="1" applyBorder="1" applyAlignment="1">
      <alignment horizontal="center" vertical="center" wrapText="1" readingOrder="2"/>
    </xf>
    <xf numFmtId="0" fontId="142" fillId="23" borderId="12" xfId="23" applyFont="1" applyFill="1" applyBorder="1" applyAlignment="1">
      <alignment horizontal="center" vertical="center" wrapText="1" readingOrder="2"/>
    </xf>
    <xf numFmtId="0" fontId="87" fillId="23" borderId="26" xfId="23" applyFont="1" applyFill="1" applyBorder="1" applyAlignment="1">
      <alignment horizontal="center" vertical="center" wrapText="1" readingOrder="2"/>
    </xf>
    <xf numFmtId="0" fontId="87" fillId="0" borderId="26" xfId="23" quotePrefix="1" applyFont="1" applyBorder="1" applyAlignment="1">
      <alignment horizontal="center" vertical="center" wrapText="1" readingOrder="2"/>
    </xf>
    <xf numFmtId="0" fontId="87" fillId="23" borderId="91" xfId="23" applyFont="1" applyFill="1" applyBorder="1" applyAlignment="1">
      <alignment horizontal="center" vertical="center" wrapText="1" readingOrder="2"/>
    </xf>
    <xf numFmtId="0" fontId="87" fillId="23" borderId="31" xfId="23" applyFont="1" applyFill="1" applyBorder="1" applyAlignment="1">
      <alignment horizontal="center" vertical="center" wrapText="1" readingOrder="2"/>
    </xf>
    <xf numFmtId="0" fontId="87" fillId="23" borderId="32" xfId="23" applyFont="1" applyFill="1" applyBorder="1" applyAlignment="1">
      <alignment horizontal="center" vertical="center"/>
    </xf>
    <xf numFmtId="0" fontId="87" fillId="0" borderId="91" xfId="23" applyFont="1" applyBorder="1" applyAlignment="1">
      <alignment horizontal="center" vertical="center" wrapText="1" readingOrder="2"/>
    </xf>
    <xf numFmtId="0" fontId="87" fillId="0" borderId="31" xfId="23" applyFont="1" applyBorder="1" applyAlignment="1">
      <alignment horizontal="center" vertical="center" wrapText="1" readingOrder="2"/>
    </xf>
    <xf numFmtId="0" fontId="87" fillId="0" borderId="32" xfId="23" applyFont="1" applyBorder="1" applyAlignment="1">
      <alignment horizontal="center" vertical="center" wrapText="1" readingOrder="2"/>
    </xf>
    <xf numFmtId="0" fontId="142" fillId="23" borderId="15" xfId="23" applyFont="1" applyFill="1" applyBorder="1" applyAlignment="1">
      <alignment horizontal="center" vertical="center" wrapText="1" readingOrder="2"/>
    </xf>
    <xf numFmtId="0" fontId="189" fillId="0" borderId="45" xfId="23" applyFont="1" applyBorder="1" applyAlignment="1">
      <alignment horizontal="center" vertical="center"/>
    </xf>
    <xf numFmtId="0" fontId="194" fillId="5" borderId="45" xfId="23" applyFont="1" applyFill="1" applyBorder="1" applyAlignment="1">
      <alignment horizontal="center" vertical="center"/>
    </xf>
    <xf numFmtId="0" fontId="13" fillId="2" borderId="244" xfId="23" applyFont="1" applyFill="1" applyBorder="1" applyAlignment="1">
      <alignment horizontal="center" vertical="center" wrapText="1" readingOrder="2"/>
    </xf>
    <xf numFmtId="0" fontId="13" fillId="2" borderId="48" xfId="23" applyFont="1" applyFill="1" applyBorder="1" applyAlignment="1">
      <alignment horizontal="center" vertical="center" wrapText="1" readingOrder="2"/>
    </xf>
    <xf numFmtId="0" fontId="13" fillId="2" borderId="41" xfId="23" applyFont="1" applyFill="1" applyBorder="1" applyAlignment="1">
      <alignment horizontal="center" vertical="center" wrapText="1" readingOrder="2"/>
    </xf>
    <xf numFmtId="0" fontId="13" fillId="2" borderId="245" xfId="23" applyFont="1" applyFill="1" applyBorder="1" applyAlignment="1">
      <alignment horizontal="center" vertical="center" wrapText="1" readingOrder="2"/>
    </xf>
    <xf numFmtId="0" fontId="13" fillId="2" borderId="246" xfId="23" applyFont="1" applyFill="1" applyBorder="1" applyAlignment="1">
      <alignment horizontal="center" vertical="center" wrapText="1" readingOrder="2"/>
    </xf>
    <xf numFmtId="0" fontId="12" fillId="0" borderId="5" xfId="22" applyFont="1" applyBorder="1" applyAlignment="1">
      <alignment horizontal="center" vertical="center"/>
    </xf>
    <xf numFmtId="3" fontId="32" fillId="0" borderId="12" xfId="1" applyNumberFormat="1" applyFont="1" applyBorder="1" applyAlignment="1">
      <alignment horizontal="center" vertical="center"/>
    </xf>
    <xf numFmtId="3" fontId="32" fillId="0" borderId="93" xfId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3" fontId="32" fillId="0" borderId="66" xfId="4" applyNumberFormat="1" applyFont="1" applyBorder="1" applyAlignment="1">
      <alignment horizontal="center" vertical="center"/>
    </xf>
    <xf numFmtId="3" fontId="32" fillId="0" borderId="93" xfId="4" applyNumberFormat="1" applyFont="1" applyBorder="1" applyAlignment="1">
      <alignment horizontal="center" vertical="center"/>
    </xf>
    <xf numFmtId="3" fontId="32" fillId="0" borderId="76" xfId="4" applyNumberFormat="1" applyFont="1" applyBorder="1" applyAlignment="1">
      <alignment horizontal="center" vertical="center"/>
    </xf>
    <xf numFmtId="3" fontId="32" fillId="0" borderId="15" xfId="1" applyNumberFormat="1" applyFont="1" applyBorder="1" applyAlignment="1">
      <alignment horizontal="center" vertical="center"/>
    </xf>
    <xf numFmtId="0" fontId="12" fillId="0" borderId="33" xfId="22" applyFont="1" applyBorder="1" applyAlignment="1">
      <alignment horizontal="center" vertical="center"/>
    </xf>
    <xf numFmtId="0" fontId="12" fillId="0" borderId="12" xfId="8" applyFont="1" applyBorder="1" applyAlignment="1">
      <alignment horizontal="center" vertical="center"/>
    </xf>
    <xf numFmtId="0" fontId="9" fillId="0" borderId="0" xfId="22" applyFont="1" applyFill="1"/>
    <xf numFmtId="0" fontId="22" fillId="0" borderId="1" xfId="22" applyFont="1" applyFill="1" applyBorder="1" applyAlignment="1">
      <alignment horizontal="right"/>
    </xf>
    <xf numFmtId="0" fontId="22" fillId="0" borderId="1" xfId="22" applyFont="1" applyFill="1" applyBorder="1" applyAlignment="1">
      <alignment horizontal="center"/>
    </xf>
    <xf numFmtId="3" fontId="9" fillId="0" borderId="0" xfId="22" applyNumberFormat="1" applyFont="1" applyFill="1"/>
    <xf numFmtId="180" fontId="9" fillId="0" borderId="0" xfId="22" applyNumberFormat="1" applyFont="1" applyFill="1"/>
    <xf numFmtId="0" fontId="9" fillId="0" borderId="0" xfId="22" applyFont="1" applyFill="1" applyAlignment="1">
      <alignment horizontal="right"/>
    </xf>
    <xf numFmtId="4" fontId="113" fillId="0" borderId="0" xfId="158" applyNumberFormat="1" applyFont="1" applyFill="1" applyBorder="1" applyAlignment="1" applyProtection="1">
      <alignment horizontal="center" vertical="center"/>
    </xf>
    <xf numFmtId="3" fontId="113" fillId="0" borderId="0" xfId="158" applyNumberFormat="1" applyFont="1" applyFill="1" applyBorder="1" applyAlignment="1" applyProtection="1">
      <alignment horizontal="center" vertical="center"/>
    </xf>
    <xf numFmtId="10" fontId="113" fillId="0" borderId="0" xfId="158" applyNumberFormat="1" applyFont="1" applyFill="1" applyBorder="1" applyAlignment="1">
      <alignment horizontal="center" vertical="center"/>
    </xf>
    <xf numFmtId="3" fontId="113" fillId="0" borderId="0" xfId="158" applyNumberFormat="1" applyFont="1" applyFill="1" applyBorder="1" applyAlignment="1">
      <alignment horizontal="center" vertical="center"/>
    </xf>
    <xf numFmtId="3" fontId="4" fillId="0" borderId="0" xfId="158" applyNumberFormat="1"/>
    <xf numFmtId="3" fontId="4" fillId="2" borderId="0" xfId="158" applyNumberFormat="1" applyFill="1"/>
    <xf numFmtId="0" fontId="4" fillId="2" borderId="0" xfId="158" applyFill="1"/>
    <xf numFmtId="0" fontId="4" fillId="0" borderId="0" xfId="158"/>
    <xf numFmtId="0" fontId="4" fillId="2" borderId="0" xfId="158" applyFill="1" applyAlignment="1">
      <alignment readingOrder="2"/>
    </xf>
    <xf numFmtId="3" fontId="9" fillId="0" borderId="0" xfId="1" applyNumberFormat="1" applyFont="1" applyFill="1"/>
    <xf numFmtId="1" fontId="9" fillId="0" borderId="0" xfId="1" applyNumberFormat="1" applyFont="1" applyFill="1"/>
    <xf numFmtId="0" fontId="4" fillId="0" borderId="0" xfId="158" applyAlignment="1">
      <alignment readingOrder="2"/>
    </xf>
    <xf numFmtId="3" fontId="9" fillId="0" borderId="0" xfId="1" applyNumberFormat="1" applyFont="1" applyFill="1" applyAlignment="1"/>
    <xf numFmtId="0" fontId="9" fillId="0" borderId="0" xfId="1" applyFont="1" applyFill="1" applyAlignment="1"/>
    <xf numFmtId="0" fontId="9" fillId="0" borderId="0" xfId="1" applyFont="1" applyFill="1" applyBorder="1"/>
    <xf numFmtId="3" fontId="9" fillId="0" borderId="0" xfId="1" applyNumberFormat="1" applyFont="1" applyFill="1" applyBorder="1"/>
    <xf numFmtId="1" fontId="9" fillId="0" borderId="0" xfId="1" applyNumberFormat="1" applyFont="1" applyFill="1" applyBorder="1"/>
    <xf numFmtId="3" fontId="11" fillId="0" borderId="25" xfId="1" applyNumberFormat="1" applyFont="1" applyFill="1" applyBorder="1" applyAlignment="1">
      <alignment horizontal="center" readingOrder="2"/>
    </xf>
    <xf numFmtId="0" fontId="9" fillId="0" borderId="0" xfId="1" applyFont="1" applyFill="1" applyAlignment="1">
      <alignment horizontal="center" vertical="center"/>
    </xf>
    <xf numFmtId="3" fontId="32" fillId="0" borderId="25" xfId="1" applyNumberFormat="1" applyFont="1" applyFill="1" applyBorder="1" applyAlignment="1">
      <alignment horizontal="center" vertical="center"/>
    </xf>
    <xf numFmtId="179" fontId="32" fillId="0" borderId="25" xfId="1" applyNumberFormat="1" applyFont="1" applyFill="1" applyBorder="1" applyAlignment="1">
      <alignment horizontal="center" vertical="center"/>
    </xf>
    <xf numFmtId="9" fontId="82" fillId="0" borderId="26" xfId="1" applyNumberFormat="1" applyFont="1" applyFill="1" applyBorder="1" applyAlignment="1">
      <alignment horizontal="center" vertical="center"/>
    </xf>
    <xf numFmtId="179" fontId="32" fillId="0" borderId="28" xfId="1" applyNumberFormat="1" applyFont="1" applyFill="1" applyBorder="1" applyAlignment="1">
      <alignment horizontal="center" vertical="center"/>
    </xf>
    <xf numFmtId="9" fontId="82" fillId="0" borderId="40" xfId="1" applyNumberFormat="1" applyFont="1" applyFill="1" applyBorder="1" applyAlignment="1">
      <alignment horizontal="center" vertical="center"/>
    </xf>
    <xf numFmtId="3" fontId="17" fillId="2" borderId="70" xfId="1" applyNumberFormat="1" applyFont="1" applyFill="1" applyBorder="1" applyAlignment="1">
      <alignment horizontal="center" vertical="center" readingOrder="2"/>
    </xf>
    <xf numFmtId="3" fontId="26" fillId="2" borderId="47" xfId="25" applyNumberFormat="1" applyFont="1" applyFill="1" applyBorder="1" applyAlignment="1">
      <alignment horizontal="center" vertical="center" readingOrder="2"/>
    </xf>
    <xf numFmtId="3" fontId="17" fillId="2" borderId="27" xfId="1" applyNumberFormat="1" applyFont="1" applyFill="1" applyBorder="1" applyAlignment="1">
      <alignment horizontal="center" vertical="center" readingOrder="2"/>
    </xf>
    <xf numFmtId="3" fontId="26" fillId="2" borderId="26" xfId="25" applyNumberFormat="1" applyFont="1" applyFill="1" applyBorder="1" applyAlignment="1">
      <alignment horizontal="center" vertical="center" readingOrder="2"/>
    </xf>
    <xf numFmtId="3" fontId="17" fillId="2" borderId="91" xfId="1" applyNumberFormat="1" applyFont="1" applyFill="1" applyBorder="1" applyAlignment="1">
      <alignment horizontal="center" vertical="center" readingOrder="2"/>
    </xf>
    <xf numFmtId="3" fontId="26" fillId="2" borderId="31" xfId="25" applyNumberFormat="1" applyFont="1" applyFill="1" applyBorder="1" applyAlignment="1">
      <alignment horizontal="center" vertical="center" readingOrder="2"/>
    </xf>
    <xf numFmtId="3" fontId="15" fillId="0" borderId="0" xfId="1" applyNumberFormat="1" applyFont="1" applyFill="1"/>
    <xf numFmtId="3" fontId="11" fillId="0" borderId="25" xfId="1" applyNumberFormat="1" applyFont="1" applyFill="1" applyBorder="1" applyAlignment="1">
      <alignment horizontal="center" vertical="center" readingOrder="2"/>
    </xf>
    <xf numFmtId="3" fontId="16" fillId="0" borderId="25" xfId="158" applyNumberFormat="1" applyFont="1" applyBorder="1" applyAlignment="1">
      <alignment horizontal="center" vertical="center" readingOrder="2"/>
    </xf>
    <xf numFmtId="3" fontId="11" fillId="0" borderId="78" xfId="1" applyNumberFormat="1" applyFont="1" applyFill="1" applyBorder="1" applyAlignment="1">
      <alignment horizontal="center" vertical="center" readingOrder="2"/>
    </xf>
    <xf numFmtId="3" fontId="11" fillId="0" borderId="26" xfId="1" applyNumberFormat="1" applyFont="1" applyFill="1" applyBorder="1" applyAlignment="1">
      <alignment horizontal="center" vertical="center" readingOrder="2"/>
    </xf>
    <xf numFmtId="3" fontId="40" fillId="0" borderId="0" xfId="1" applyNumberFormat="1" applyFont="1" applyFill="1" applyAlignment="1"/>
    <xf numFmtId="0" fontId="9" fillId="0" borderId="0" xfId="22" applyFont="1" applyFill="1" applyAlignment="1">
      <alignment horizontal="center" vertical="center"/>
    </xf>
    <xf numFmtId="0" fontId="24" fillId="0" borderId="0" xfId="22" applyFont="1" applyFill="1" applyAlignment="1">
      <alignment horizontal="center" vertical="center"/>
    </xf>
    <xf numFmtId="181" fontId="33" fillId="0" borderId="25" xfId="4" applyNumberFormat="1" applyFont="1" applyFill="1" applyBorder="1" applyAlignment="1" applyProtection="1">
      <alignment horizontal="left" vertical="center" wrapText="1" indent="1" readingOrder="1"/>
      <protection locked="0"/>
    </xf>
    <xf numFmtId="181" fontId="33" fillId="0" borderId="50" xfId="4" applyNumberFormat="1" applyFont="1" applyFill="1" applyBorder="1" applyAlignment="1" applyProtection="1">
      <alignment horizontal="left" vertical="center" wrapText="1" indent="1" readingOrder="1"/>
      <protection locked="0"/>
    </xf>
    <xf numFmtId="3" fontId="32" fillId="0" borderId="76" xfId="4" applyNumberFormat="1" applyFont="1" applyFill="1" applyBorder="1" applyAlignment="1">
      <alignment horizontal="right" vertical="center" indent="1"/>
    </xf>
    <xf numFmtId="3" fontId="24" fillId="0" borderId="0" xfId="22" applyNumberFormat="1" applyFont="1" applyFill="1" applyAlignment="1">
      <alignment horizontal="center" vertical="center"/>
    </xf>
    <xf numFmtId="3" fontId="9" fillId="0" borderId="0" xfId="22" applyNumberFormat="1" applyFont="1" applyFill="1" applyAlignment="1">
      <alignment horizontal="center" vertical="center"/>
    </xf>
    <xf numFmtId="0" fontId="82" fillId="0" borderId="0" xfId="22" applyFont="1" applyFill="1"/>
    <xf numFmtId="0" fontId="82" fillId="0" borderId="0" xfId="22" applyFont="1" applyFill="1" applyAlignment="1">
      <alignment horizontal="center"/>
    </xf>
    <xf numFmtId="3" fontId="82" fillId="0" borderId="0" xfId="22" applyNumberFormat="1" applyFont="1" applyFill="1" applyAlignment="1">
      <alignment horizontal="center"/>
    </xf>
    <xf numFmtId="0" fontId="12" fillId="0" borderId="0" xfId="4" applyFont="1" applyFill="1" applyAlignment="1">
      <alignment horizontal="right" indent="1"/>
    </xf>
    <xf numFmtId="0" fontId="21" fillId="0" borderId="0" xfId="4" applyFont="1" applyFill="1" applyAlignment="1">
      <alignment horizontal="right" indent="1"/>
    </xf>
    <xf numFmtId="0" fontId="21" fillId="0" borderId="0" xfId="4" applyFont="1" applyFill="1" applyAlignment="1">
      <alignment horizontal="center"/>
    </xf>
    <xf numFmtId="0" fontId="40" fillId="0" borderId="0" xfId="4" applyFont="1" applyFill="1" applyAlignment="1"/>
    <xf numFmtId="0" fontId="40" fillId="0" borderId="0" xfId="4" applyFont="1" applyFill="1" applyAlignment="1">
      <alignment horizontal="center" vertical="center"/>
    </xf>
    <xf numFmtId="0" fontId="103" fillId="0" borderId="0" xfId="22" applyFont="1" applyFill="1" applyBorder="1" applyAlignment="1">
      <alignment vertical="center"/>
    </xf>
    <xf numFmtId="49" fontId="9" fillId="0" borderId="0" xfId="22" applyNumberFormat="1" applyFont="1" applyFill="1" applyAlignment="1">
      <alignment horizontal="center"/>
    </xf>
    <xf numFmtId="0" fontId="40" fillId="0" borderId="55" xfId="22" applyFont="1" applyFill="1" applyBorder="1" applyAlignment="1">
      <alignment horizontal="center" vertical="center" textRotation="90"/>
    </xf>
    <xf numFmtId="0" fontId="123" fillId="0" borderId="31" xfId="22" applyFont="1" applyFill="1" applyBorder="1" applyAlignment="1">
      <alignment horizontal="center" vertical="center" textRotation="90"/>
    </xf>
    <xf numFmtId="0" fontId="66" fillId="0" borderId="96" xfId="22" applyFont="1" applyFill="1" applyBorder="1" applyAlignment="1">
      <alignment horizontal="center" vertical="center"/>
    </xf>
    <xf numFmtId="0" fontId="40" fillId="0" borderId="63" xfId="22" applyFont="1" applyFill="1" applyBorder="1" applyAlignment="1">
      <alignment horizontal="center" vertical="center"/>
    </xf>
    <xf numFmtId="0" fontId="126" fillId="0" borderId="5" xfId="22" applyFont="1" applyFill="1" applyBorder="1" applyAlignment="1">
      <alignment horizontal="right" vertical="center"/>
    </xf>
    <xf numFmtId="0" fontId="9" fillId="0" borderId="0" xfId="22" applyFont="1" applyFill="1" applyAlignment="1"/>
    <xf numFmtId="0" fontId="43" fillId="0" borderId="2" xfId="22" applyFont="1" applyFill="1" applyBorder="1" applyAlignment="1">
      <alignment horizontal="right" vertical="center"/>
    </xf>
    <xf numFmtId="0" fontId="66" fillId="2" borderId="0" xfId="22" applyFont="1" applyFill="1" applyBorder="1" applyAlignment="1">
      <alignment horizontal="center" vertical="center"/>
    </xf>
    <xf numFmtId="0" fontId="66" fillId="0" borderId="0" xfId="22" applyFont="1" applyFill="1" applyBorder="1" applyAlignment="1">
      <alignment horizontal="center" vertical="center"/>
    </xf>
    <xf numFmtId="0" fontId="12" fillId="2" borderId="0" xfId="22" applyFont="1" applyFill="1" applyBorder="1" applyAlignment="1">
      <alignment horizontal="center" vertical="center"/>
    </xf>
    <xf numFmtId="0" fontId="66" fillId="0" borderId="20" xfId="22" applyFont="1" applyFill="1" applyBorder="1" applyAlignment="1">
      <alignment horizontal="center" vertical="center"/>
    </xf>
    <xf numFmtId="0" fontId="126" fillId="0" borderId="0" xfId="22" applyFont="1" applyFill="1" applyBorder="1" applyAlignment="1">
      <alignment horizontal="right" vertical="center"/>
    </xf>
    <xf numFmtId="0" fontId="127" fillId="0" borderId="0" xfId="22" applyFont="1" applyFill="1" applyBorder="1" applyAlignment="1">
      <alignment horizontal="right" vertical="center"/>
    </xf>
    <xf numFmtId="0" fontId="105" fillId="0" borderId="0" xfId="22" applyFont="1" applyFill="1" applyBorder="1" applyAlignment="1">
      <alignment horizontal="center" textRotation="90"/>
    </xf>
    <xf numFmtId="0" fontId="61" fillId="0" borderId="0" xfId="22" applyFont="1" applyFill="1"/>
    <xf numFmtId="0" fontId="40" fillId="0" borderId="0" xfId="22" applyFont="1" applyFill="1" applyAlignment="1">
      <alignment vertical="center"/>
    </xf>
    <xf numFmtId="0" fontId="67" fillId="0" borderId="0" xfId="22" applyFont="1" applyFill="1"/>
    <xf numFmtId="0" fontId="9" fillId="0" borderId="0" xfId="22" applyFont="1" applyFill="1" applyBorder="1"/>
    <xf numFmtId="0" fontId="9" fillId="0" borderId="0" xfId="22" applyFont="1" applyFill="1" applyBorder="1" applyAlignment="1">
      <alignment horizontal="center" vertical="center"/>
    </xf>
    <xf numFmtId="0" fontId="12" fillId="0" borderId="0" xfId="22" applyFont="1" applyFill="1" applyBorder="1" applyAlignment="1">
      <alignment horizontal="right" vertical="center"/>
    </xf>
    <xf numFmtId="0" fontId="9" fillId="0" borderId="0" xfId="22" applyFont="1" applyFill="1" applyBorder="1" applyAlignment="1">
      <alignment horizontal="right" vertical="center"/>
    </xf>
    <xf numFmtId="0" fontId="130" fillId="0" borderId="0" xfId="22" applyFont="1" applyFill="1" applyAlignment="1">
      <alignment horizontal="right"/>
    </xf>
    <xf numFmtId="0" fontId="103" fillId="0" borderId="0" xfId="22" applyFont="1" applyFill="1" applyBorder="1" applyAlignment="1">
      <alignment horizontal="center" vertical="center"/>
    </xf>
    <xf numFmtId="0" fontId="123" fillId="0" borderId="0" xfId="22" applyFont="1" applyFill="1" applyBorder="1" applyAlignment="1">
      <alignment horizontal="center" vertical="center" textRotation="90"/>
    </xf>
    <xf numFmtId="0" fontId="40" fillId="0" borderId="0" xfId="22" applyFont="1" applyFill="1" applyBorder="1" applyAlignment="1">
      <alignment horizontal="center" vertical="center" textRotation="90"/>
    </xf>
    <xf numFmtId="0" fontId="75" fillId="0" borderId="0" xfId="22" applyFont="1" applyFill="1" applyAlignment="1">
      <alignment horizontal="right"/>
    </xf>
    <xf numFmtId="0" fontId="67" fillId="0" borderId="0" xfId="22" applyFont="1" applyFill="1" applyBorder="1"/>
    <xf numFmtId="0" fontId="127" fillId="0" borderId="0" xfId="22" applyFont="1" applyFill="1" applyBorder="1"/>
    <xf numFmtId="0" fontId="12" fillId="0" borderId="0" xfId="22" applyFont="1" applyFill="1" applyBorder="1"/>
    <xf numFmtId="0" fontId="9" fillId="0" borderId="60" xfId="22" applyFont="1" applyFill="1" applyBorder="1" applyAlignment="1">
      <alignment horizontal="right" vertical="center"/>
    </xf>
    <xf numFmtId="0" fontId="9" fillId="0" borderId="3" xfId="22" applyFont="1" applyFill="1" applyBorder="1" applyAlignment="1">
      <alignment horizontal="right" vertical="center"/>
    </xf>
    <xf numFmtId="0" fontId="75" fillId="0" borderId="61" xfId="22" applyFont="1" applyFill="1" applyBorder="1" applyAlignment="1">
      <alignment horizontal="right" vertical="center"/>
    </xf>
    <xf numFmtId="0" fontId="9" fillId="0" borderId="47" xfId="22" applyFont="1" applyFill="1" applyBorder="1" applyAlignment="1">
      <alignment horizontal="right" vertical="center"/>
    </xf>
    <xf numFmtId="0" fontId="9" fillId="0" borderId="77" xfId="22" applyFont="1" applyFill="1" applyBorder="1" applyAlignment="1">
      <alignment horizontal="right" vertical="center"/>
    </xf>
    <xf numFmtId="0" fontId="9" fillId="0" borderId="76" xfId="22" applyFont="1" applyFill="1" applyBorder="1" applyAlignment="1">
      <alignment horizontal="right" vertical="center"/>
    </xf>
    <xf numFmtId="0" fontId="75" fillId="0" borderId="49" xfId="22" applyFont="1" applyFill="1" applyBorder="1" applyAlignment="1">
      <alignment horizontal="right" vertical="center"/>
    </xf>
    <xf numFmtId="0" fontId="9" fillId="0" borderId="69" xfId="22" applyFont="1" applyFill="1" applyBorder="1" applyAlignment="1">
      <alignment horizontal="right" vertical="center"/>
    </xf>
    <xf numFmtId="0" fontId="9" fillId="0" borderId="39" xfId="22" applyFont="1" applyFill="1" applyBorder="1" applyAlignment="1">
      <alignment horizontal="right" vertical="center"/>
    </xf>
    <xf numFmtId="0" fontId="9" fillId="0" borderId="6" xfId="22" applyFont="1" applyFill="1" applyBorder="1" applyAlignment="1">
      <alignment horizontal="right" vertical="center"/>
    </xf>
    <xf numFmtId="0" fontId="9" fillId="0" borderId="28" xfId="22" applyFont="1" applyFill="1" applyBorder="1" applyAlignment="1">
      <alignment horizontal="right" vertical="center"/>
    </xf>
    <xf numFmtId="0" fontId="9" fillId="0" borderId="40" xfId="22" applyFont="1" applyFill="1" applyBorder="1" applyAlignment="1">
      <alignment horizontal="right" vertical="center"/>
    </xf>
    <xf numFmtId="0" fontId="19" fillId="0" borderId="0" xfId="22" applyFont="1" applyFill="1"/>
    <xf numFmtId="0" fontId="9" fillId="0" borderId="64" xfId="22" applyFont="1" applyFill="1" applyBorder="1" applyAlignment="1">
      <alignment horizontal="right" vertical="center"/>
    </xf>
    <xf numFmtId="0" fontId="9" fillId="0" borderId="78" xfId="22" applyFont="1" applyFill="1" applyBorder="1" applyAlignment="1">
      <alignment horizontal="right" vertical="center"/>
    </xf>
    <xf numFmtId="0" fontId="9" fillId="0" borderId="20" xfId="22" applyFont="1" applyFill="1" applyBorder="1" applyAlignment="1">
      <alignment horizontal="right"/>
    </xf>
    <xf numFmtId="0" fontId="47" fillId="0" borderId="0" xfId="22" applyFont="1" applyFill="1" applyAlignment="1"/>
    <xf numFmtId="0" fontId="47" fillId="2" borderId="0" xfId="22" applyFont="1" applyFill="1" applyAlignment="1"/>
    <xf numFmtId="165" fontId="9" fillId="0" borderId="0" xfId="22" applyNumberFormat="1" applyFont="1" applyFill="1"/>
    <xf numFmtId="0" fontId="40" fillId="20" borderId="61" xfId="22" applyFont="1" applyFill="1" applyBorder="1" applyAlignment="1">
      <alignment horizontal="center" vertical="center" textRotation="90"/>
    </xf>
    <xf numFmtId="0" fontId="123" fillId="20" borderId="61" xfId="22" applyFont="1" applyFill="1" applyBorder="1" applyAlignment="1">
      <alignment horizontal="center" vertical="center" textRotation="90"/>
    </xf>
    <xf numFmtId="0" fontId="40" fillId="20" borderId="36" xfId="22" applyFont="1" applyFill="1" applyBorder="1" applyAlignment="1">
      <alignment horizontal="center" vertical="center" textRotation="90"/>
    </xf>
    <xf numFmtId="0" fontId="40" fillId="20" borderId="31" xfId="22" applyFont="1" applyFill="1" applyBorder="1" applyAlignment="1">
      <alignment horizontal="center" vertical="center" textRotation="90"/>
    </xf>
    <xf numFmtId="0" fontId="40" fillId="20" borderId="55" xfId="22" applyFont="1" applyFill="1" applyBorder="1" applyAlignment="1">
      <alignment horizontal="center" vertical="center" textRotation="90"/>
    </xf>
    <xf numFmtId="0" fontId="123" fillId="20" borderId="31" xfId="22" applyFont="1" applyFill="1" applyBorder="1" applyAlignment="1">
      <alignment horizontal="center" vertical="center" textRotation="90"/>
    </xf>
    <xf numFmtId="0" fontId="40" fillId="20" borderId="39" xfId="22" applyFont="1" applyFill="1" applyBorder="1" applyAlignment="1">
      <alignment horizontal="center" vertical="center" textRotation="90"/>
    </xf>
    <xf numFmtId="0" fontId="40" fillId="20" borderId="53" xfId="22" applyFont="1" applyFill="1" applyBorder="1" applyAlignment="1">
      <alignment horizontal="center" vertical="center" textRotation="90"/>
    </xf>
    <xf numFmtId="0" fontId="40" fillId="20" borderId="28" xfId="22" applyFont="1" applyFill="1" applyBorder="1" applyAlignment="1">
      <alignment horizontal="center" vertical="center" textRotation="90"/>
    </xf>
    <xf numFmtId="0" fontId="123" fillId="20" borderId="56" xfId="22" applyFont="1" applyFill="1" applyBorder="1" applyAlignment="1">
      <alignment horizontal="center" vertical="center" textRotation="90"/>
    </xf>
    <xf numFmtId="0" fontId="123" fillId="20" borderId="28" xfId="22" applyFont="1" applyFill="1" applyBorder="1" applyAlignment="1">
      <alignment horizontal="center" vertical="center" textRotation="90"/>
    </xf>
    <xf numFmtId="0" fontId="40" fillId="20" borderId="56" xfId="22" applyFont="1" applyFill="1" applyBorder="1" applyAlignment="1">
      <alignment horizontal="center" vertical="center" textRotation="90"/>
    </xf>
    <xf numFmtId="0" fontId="124" fillId="28" borderId="5" xfId="22" applyFont="1" applyFill="1" applyBorder="1" applyAlignment="1">
      <alignment vertical="center"/>
    </xf>
    <xf numFmtId="0" fontId="43" fillId="28" borderId="49" xfId="22" applyFont="1" applyFill="1" applyBorder="1" applyAlignment="1">
      <alignment horizontal="right" vertical="center"/>
    </xf>
    <xf numFmtId="0" fontId="40" fillId="28" borderId="0" xfId="22" applyFont="1" applyFill="1" applyBorder="1" applyAlignment="1">
      <alignment horizontal="right" vertical="center"/>
    </xf>
    <xf numFmtId="0" fontId="43" fillId="28" borderId="2" xfId="22" applyFont="1" applyFill="1" applyBorder="1" applyAlignment="1">
      <alignment horizontal="right" vertical="center"/>
    </xf>
    <xf numFmtId="0" fontId="12" fillId="28" borderId="2" xfId="22" applyFont="1" applyFill="1" applyBorder="1" applyAlignment="1">
      <alignment horizontal="right" vertical="center"/>
    </xf>
    <xf numFmtId="0" fontId="43" fillId="28" borderId="5" xfId="22" applyFont="1" applyFill="1" applyBorder="1" applyAlignment="1">
      <alignment horizontal="right" vertical="center"/>
    </xf>
    <xf numFmtId="0" fontId="66" fillId="2" borderId="37" xfId="22" applyFont="1" applyFill="1" applyBorder="1" applyAlignment="1">
      <alignment horizontal="center" vertical="center"/>
    </xf>
    <xf numFmtId="0" fontId="66" fillId="2" borderId="77" xfId="22" applyFont="1" applyFill="1" applyBorder="1" applyAlignment="1">
      <alignment horizontal="center" vertical="center"/>
    </xf>
    <xf numFmtId="0" fontId="66" fillId="2" borderId="79" xfId="22" applyFont="1" applyFill="1" applyBorder="1" applyAlignment="1">
      <alignment horizontal="center" vertical="center"/>
    </xf>
    <xf numFmtId="0" fontId="66" fillId="2" borderId="63" xfId="22" applyFont="1" applyFill="1" applyBorder="1" applyAlignment="1">
      <alignment horizontal="center" vertical="center"/>
    </xf>
    <xf numFmtId="0" fontId="66" fillId="2" borderId="78" xfId="22" applyFont="1" applyFill="1" applyBorder="1" applyAlignment="1">
      <alignment horizontal="center" vertical="center"/>
    </xf>
    <xf numFmtId="0" fontId="66" fillId="2" borderId="69" xfId="22" applyFont="1" applyFill="1" applyBorder="1" applyAlignment="1">
      <alignment horizontal="center" vertical="center"/>
    </xf>
    <xf numFmtId="0" fontId="75" fillId="2" borderId="7" xfId="22" applyFont="1" applyFill="1" applyBorder="1" applyAlignment="1">
      <alignment horizontal="center" vertical="justify"/>
    </xf>
    <xf numFmtId="0" fontId="66" fillId="2" borderId="96" xfId="22" applyFont="1" applyFill="1" applyBorder="1" applyAlignment="1">
      <alignment horizontal="center" vertical="center"/>
    </xf>
    <xf numFmtId="0" fontId="9" fillId="2" borderId="40" xfId="22" applyFont="1" applyFill="1" applyBorder="1" applyAlignment="1">
      <alignment horizontal="center" vertical="center"/>
    </xf>
    <xf numFmtId="0" fontId="66" fillId="2" borderId="72" xfId="22" applyFont="1" applyFill="1" applyBorder="1" applyAlignment="1">
      <alignment horizontal="center" vertical="center"/>
    </xf>
    <xf numFmtId="0" fontId="66" fillId="2" borderId="49" xfId="22" applyFont="1" applyFill="1" applyBorder="1" applyAlignment="1">
      <alignment horizontal="center" vertical="center"/>
    </xf>
    <xf numFmtId="0" fontId="66" fillId="2" borderId="38" xfId="22" applyFont="1" applyFill="1" applyBorder="1" applyAlignment="1">
      <alignment horizontal="center" vertical="center"/>
    </xf>
    <xf numFmtId="0" fontId="75" fillId="2" borderId="66" xfId="22" applyFont="1" applyFill="1" applyBorder="1" applyAlignment="1">
      <alignment horizontal="center" vertical="justify"/>
    </xf>
    <xf numFmtId="0" fontId="9" fillId="2" borderId="38" xfId="22" applyFont="1" applyFill="1" applyBorder="1" applyAlignment="1">
      <alignment horizontal="center" vertical="center"/>
    </xf>
    <xf numFmtId="0" fontId="75" fillId="2" borderId="34" xfId="22" applyFont="1" applyFill="1" applyBorder="1" applyAlignment="1">
      <alignment horizontal="center" vertical="justify"/>
    </xf>
    <xf numFmtId="0" fontId="66" fillId="2" borderId="39" xfId="22" applyFont="1" applyFill="1" applyBorder="1" applyAlignment="1">
      <alignment horizontal="center" vertical="center"/>
    </xf>
    <xf numFmtId="0" fontId="66" fillId="2" borderId="53" xfId="22" applyFont="1" applyFill="1" applyBorder="1" applyAlignment="1">
      <alignment horizontal="center" vertical="center"/>
    </xf>
    <xf numFmtId="0" fontId="66" fillId="2" borderId="28" xfId="22" applyFont="1" applyFill="1" applyBorder="1" applyAlignment="1">
      <alignment horizontal="center" vertical="center"/>
    </xf>
    <xf numFmtId="0" fontId="66" fillId="2" borderId="40" xfId="22" applyFont="1" applyFill="1" applyBorder="1" applyAlignment="1">
      <alignment horizontal="center" vertical="center"/>
    </xf>
    <xf numFmtId="0" fontId="75" fillId="2" borderId="78" xfId="22" applyFont="1" applyFill="1" applyBorder="1" applyAlignment="1">
      <alignment horizontal="center" vertical="justify"/>
    </xf>
    <xf numFmtId="0" fontId="66" fillId="2" borderId="50" xfId="22" applyFont="1" applyFill="1" applyBorder="1" applyAlignment="1">
      <alignment horizontal="center" vertical="center"/>
    </xf>
    <xf numFmtId="0" fontId="75" fillId="2" borderId="49" xfId="22" applyFont="1" applyFill="1" applyBorder="1" applyAlignment="1">
      <alignment horizontal="center" vertical="justify"/>
    </xf>
    <xf numFmtId="0" fontId="75" fillId="2" borderId="19" xfId="22" applyFont="1" applyFill="1" applyBorder="1" applyAlignment="1">
      <alignment horizontal="center" vertical="justify"/>
    </xf>
    <xf numFmtId="0" fontId="9" fillId="2" borderId="58" xfId="22" applyFont="1" applyFill="1" applyBorder="1" applyAlignment="1">
      <alignment horizontal="center" vertical="center"/>
    </xf>
    <xf numFmtId="0" fontId="9" fillId="2" borderId="57" xfId="22" applyFont="1" applyFill="1" applyBorder="1" applyAlignment="1">
      <alignment horizontal="center" vertical="center"/>
    </xf>
    <xf numFmtId="0" fontId="75" fillId="2" borderId="33" xfId="22" applyFont="1" applyFill="1" applyBorder="1" applyAlignment="1">
      <alignment horizontal="center" vertical="justify"/>
    </xf>
    <xf numFmtId="0" fontId="40" fillId="2" borderId="0" xfId="22" applyFont="1" applyFill="1" applyBorder="1" applyAlignment="1">
      <alignment horizontal="center" vertical="center"/>
    </xf>
    <xf numFmtId="0" fontId="43" fillId="2" borderId="0" xfId="22" applyFont="1" applyFill="1" applyBorder="1" applyAlignment="1">
      <alignment horizontal="right" vertical="justify"/>
    </xf>
    <xf numFmtId="0" fontId="43" fillId="2" borderId="0" xfId="22" applyFont="1" applyFill="1" applyBorder="1" applyAlignment="1">
      <alignment horizontal="center" vertical="justify"/>
    </xf>
    <xf numFmtId="0" fontId="40" fillId="2" borderId="60" xfId="22" applyFont="1" applyFill="1" applyBorder="1" applyAlignment="1">
      <alignment horizontal="center" vertical="center"/>
    </xf>
    <xf numFmtId="0" fontId="40" fillId="2" borderId="70" xfId="22" applyFont="1" applyFill="1" applyBorder="1" applyAlignment="1">
      <alignment horizontal="center" vertical="center"/>
    </xf>
    <xf numFmtId="0" fontId="40" fillId="2" borderId="61" xfId="22" applyFont="1" applyFill="1" applyBorder="1" applyAlignment="1">
      <alignment horizontal="center" vertical="center"/>
    </xf>
    <xf numFmtId="0" fontId="40" fillId="2" borderId="62" xfId="22" applyFont="1" applyFill="1" applyBorder="1" applyAlignment="1">
      <alignment horizontal="center" vertical="center"/>
    </xf>
    <xf numFmtId="0" fontId="43" fillId="2" borderId="3" xfId="22" applyFont="1" applyFill="1" applyBorder="1" applyAlignment="1">
      <alignment horizontal="center" vertical="justify"/>
    </xf>
    <xf numFmtId="0" fontId="12" fillId="2" borderId="47" xfId="22" applyFont="1" applyFill="1" applyBorder="1" applyAlignment="1">
      <alignment horizontal="center" vertical="center"/>
    </xf>
    <xf numFmtId="0" fontId="66" fillId="2" borderId="56" xfId="22" applyFont="1" applyFill="1" applyBorder="1" applyAlignment="1">
      <alignment horizontal="center" vertical="center"/>
    </xf>
    <xf numFmtId="0" fontId="66" fillId="2" borderId="60" xfId="22" applyFont="1" applyFill="1" applyBorder="1" applyAlignment="1">
      <alignment horizontal="center" vertical="center"/>
    </xf>
    <xf numFmtId="0" fontId="66" fillId="2" borderId="70" xfId="22" applyFont="1" applyFill="1" applyBorder="1" applyAlignment="1">
      <alignment horizontal="center" vertical="center"/>
    </xf>
    <xf numFmtId="0" fontId="66" fillId="2" borderId="61" xfId="22" applyFont="1" applyFill="1" applyBorder="1" applyAlignment="1">
      <alignment horizontal="center" vertical="center"/>
    </xf>
    <xf numFmtId="0" fontId="66" fillId="2" borderId="62" xfId="22" applyFont="1" applyFill="1" applyBorder="1" applyAlignment="1">
      <alignment horizontal="center" vertical="center"/>
    </xf>
    <xf numFmtId="0" fontId="75" fillId="2" borderId="3" xfId="22" applyFont="1" applyFill="1" applyBorder="1" applyAlignment="1">
      <alignment horizontal="center" vertical="justify"/>
    </xf>
    <xf numFmtId="0" fontId="9" fillId="2" borderId="47" xfId="22" applyFont="1" applyFill="1" applyBorder="1" applyAlignment="1">
      <alignment horizontal="center" vertical="center"/>
    </xf>
    <xf numFmtId="0" fontId="9" fillId="2" borderId="4" xfId="22" applyFont="1" applyFill="1" applyBorder="1" applyAlignment="1">
      <alignment horizontal="center" vertical="center"/>
    </xf>
    <xf numFmtId="0" fontId="9" fillId="2" borderId="7" xfId="22" applyFont="1" applyFill="1" applyBorder="1" applyAlignment="1">
      <alignment horizontal="center" vertical="center"/>
    </xf>
    <xf numFmtId="0" fontId="9" fillId="2" borderId="66" xfId="22" applyFont="1" applyFill="1" applyBorder="1" applyAlignment="1">
      <alignment horizontal="center" vertical="center"/>
    </xf>
    <xf numFmtId="0" fontId="75" fillId="2" borderId="18" xfId="22" applyFont="1" applyFill="1" applyBorder="1" applyAlignment="1">
      <alignment horizontal="center" vertical="justify"/>
    </xf>
    <xf numFmtId="0" fontId="40" fillId="20" borderId="64" xfId="22" applyFont="1" applyFill="1" applyBorder="1" applyAlignment="1">
      <alignment horizontal="center" vertical="center" textRotation="90"/>
    </xf>
    <xf numFmtId="0" fontId="40" fillId="20" borderId="58" xfId="22" applyFont="1" applyFill="1" applyBorder="1" applyAlignment="1">
      <alignment horizontal="center" vertical="center" textRotation="90"/>
    </xf>
    <xf numFmtId="0" fontId="123" fillId="20" borderId="59" xfId="22" applyFont="1" applyFill="1" applyBorder="1" applyAlignment="1">
      <alignment horizontal="center" vertical="center" textRotation="90"/>
    </xf>
    <xf numFmtId="0" fontId="40" fillId="20" borderId="18" xfId="22" applyFont="1" applyFill="1" applyBorder="1" applyAlignment="1">
      <alignment horizontal="center" vertical="center" textRotation="90"/>
    </xf>
    <xf numFmtId="0" fontId="75" fillId="2" borderId="61" xfId="22" applyFont="1" applyFill="1" applyBorder="1" applyAlignment="1">
      <alignment horizontal="center" vertical="center"/>
    </xf>
    <xf numFmtId="0" fontId="75" fillId="2" borderId="28" xfId="22" applyFont="1" applyFill="1" applyBorder="1" applyAlignment="1">
      <alignment horizontal="center" vertical="center"/>
    </xf>
    <xf numFmtId="0" fontId="75" fillId="2" borderId="49" xfId="22" applyFont="1" applyFill="1" applyBorder="1" applyAlignment="1">
      <alignment horizontal="center" vertical="center"/>
    </xf>
    <xf numFmtId="0" fontId="132" fillId="20" borderId="17" xfId="22" applyFont="1" applyFill="1" applyBorder="1" applyAlignment="1">
      <alignment horizontal="right" vertical="center"/>
    </xf>
    <xf numFmtId="0" fontId="132" fillId="20" borderId="59" xfId="22" applyFont="1" applyFill="1" applyBorder="1" applyAlignment="1">
      <alignment horizontal="right" vertical="center"/>
    </xf>
    <xf numFmtId="0" fontId="132" fillId="20" borderId="41" xfId="22" applyFont="1" applyFill="1" applyBorder="1" applyAlignment="1">
      <alignment horizontal="right" vertical="center"/>
    </xf>
    <xf numFmtId="0" fontId="132" fillId="20" borderId="45" xfId="22" applyFont="1" applyFill="1" applyBorder="1" applyAlignment="1">
      <alignment horizontal="right" vertical="center"/>
    </xf>
    <xf numFmtId="0" fontId="132" fillId="20" borderId="43" xfId="22" applyFont="1" applyFill="1" applyBorder="1" applyAlignment="1">
      <alignment horizontal="right" vertical="center"/>
    </xf>
    <xf numFmtId="0" fontId="132" fillId="20" borderId="42" xfId="22" applyFont="1" applyFill="1" applyBorder="1" applyAlignment="1">
      <alignment horizontal="right" vertical="center"/>
    </xf>
    <xf numFmtId="0" fontId="132" fillId="20" borderId="48" xfId="22" applyFont="1" applyFill="1" applyBorder="1" applyAlignment="1">
      <alignment horizontal="right" vertical="center"/>
    </xf>
    <xf numFmtId="0" fontId="132" fillId="20" borderId="57" xfId="22" applyFont="1" applyFill="1" applyBorder="1" applyAlignment="1">
      <alignment horizontal="right" vertical="center"/>
    </xf>
    <xf numFmtId="179" fontId="58" fillId="0" borderId="25" xfId="157" applyNumberFormat="1" applyFont="1" applyBorder="1" applyAlignment="1">
      <alignment horizontal="center" readingOrder="2"/>
    </xf>
    <xf numFmtId="0" fontId="54" fillId="0" borderId="0" xfId="22" applyFont="1" applyFill="1" applyBorder="1" applyAlignment="1">
      <alignment horizontal="right"/>
    </xf>
    <xf numFmtId="0" fontId="53" fillId="0" borderId="0" xfId="22" applyFont="1" applyFill="1"/>
    <xf numFmtId="180" fontId="53" fillId="0" borderId="0" xfId="22" applyNumberFormat="1" applyFont="1" applyFill="1"/>
    <xf numFmtId="3" fontId="53" fillId="0" borderId="0" xfId="22" applyNumberFormat="1" applyFont="1" applyFill="1"/>
    <xf numFmtId="179" fontId="96" fillId="20" borderId="64" xfId="22" applyNumberFormat="1" applyFont="1" applyFill="1" applyBorder="1" applyAlignment="1">
      <alignment horizontal="center" vertical="center" readingOrder="2"/>
    </xf>
    <xf numFmtId="0" fontId="94" fillId="20" borderId="45" xfId="22" applyFont="1" applyFill="1" applyBorder="1" applyAlignment="1">
      <alignment horizontal="right" vertical="center" wrapText="1"/>
    </xf>
    <xf numFmtId="0" fontId="94" fillId="20" borderId="43" xfId="22" applyFont="1" applyFill="1" applyBorder="1" applyAlignment="1">
      <alignment horizontal="center" vertical="center" wrapText="1"/>
    </xf>
    <xf numFmtId="0" fontId="94" fillId="20" borderId="48" xfId="22" applyFont="1" applyFill="1" applyBorder="1" applyAlignment="1">
      <alignment horizontal="center" vertical="center" wrapText="1"/>
    </xf>
    <xf numFmtId="0" fontId="94" fillId="20" borderId="41" xfId="22" applyFont="1" applyFill="1" applyBorder="1" applyAlignment="1">
      <alignment horizontal="center" vertical="center" wrapText="1"/>
    </xf>
    <xf numFmtId="0" fontId="54" fillId="20" borderId="48" xfId="22" applyFont="1" applyFill="1" applyBorder="1" applyAlignment="1">
      <alignment horizontal="center" vertical="center" wrapText="1"/>
    </xf>
    <xf numFmtId="0" fontId="94" fillId="20" borderId="45" xfId="22" applyFont="1" applyFill="1" applyBorder="1" applyAlignment="1">
      <alignment horizontal="center" vertical="center" wrapText="1"/>
    </xf>
    <xf numFmtId="179" fontId="58" fillId="0" borderId="22" xfId="157" applyNumberFormat="1" applyFont="1" applyBorder="1" applyAlignment="1">
      <alignment horizontal="center" readingOrder="2"/>
    </xf>
    <xf numFmtId="179" fontId="58" fillId="0" borderId="31" xfId="157" applyNumberFormat="1" applyFont="1" applyBorder="1" applyAlignment="1">
      <alignment horizontal="center" readingOrder="2"/>
    </xf>
    <xf numFmtId="0" fontId="58" fillId="28" borderId="8" xfId="157" applyFont="1" applyFill="1" applyBorder="1" applyAlignment="1">
      <alignment horizontal="right"/>
    </xf>
    <xf numFmtId="0" fontId="58" fillId="28" borderId="11" xfId="157" applyFont="1" applyFill="1" applyBorder="1" applyAlignment="1">
      <alignment horizontal="right"/>
    </xf>
    <xf numFmtId="0" fontId="58" fillId="28" borderId="14" xfId="157" applyFont="1" applyFill="1" applyBorder="1" applyAlignment="1">
      <alignment horizontal="right"/>
    </xf>
    <xf numFmtId="0" fontId="94" fillId="20" borderId="17" xfId="22" applyFont="1" applyFill="1" applyBorder="1" applyAlignment="1">
      <alignment horizontal="right" vertical="center"/>
    </xf>
    <xf numFmtId="179" fontId="58" fillId="28" borderId="10" xfId="157" applyNumberFormat="1" applyFont="1" applyFill="1" applyBorder="1" applyAlignment="1">
      <alignment horizontal="center" readingOrder="2"/>
    </xf>
    <xf numFmtId="179" fontId="58" fillId="28" borderId="13" xfId="157" applyNumberFormat="1" applyFont="1" applyFill="1" applyBorder="1" applyAlignment="1">
      <alignment horizontal="center" readingOrder="2"/>
    </xf>
    <xf numFmtId="179" fontId="58" fillId="28" borderId="16" xfId="157" applyNumberFormat="1" applyFont="1" applyFill="1" applyBorder="1" applyAlignment="1">
      <alignment horizontal="center" readingOrder="2"/>
    </xf>
    <xf numFmtId="179" fontId="96" fillId="20" borderId="54" xfId="22" applyNumberFormat="1" applyFont="1" applyFill="1" applyBorder="1" applyAlignment="1">
      <alignment horizontal="center" vertical="center" readingOrder="2"/>
    </xf>
    <xf numFmtId="179" fontId="58" fillId="0" borderId="21" xfId="157" applyNumberFormat="1" applyFont="1" applyBorder="1" applyAlignment="1">
      <alignment horizontal="center" readingOrder="2"/>
    </xf>
    <xf numFmtId="179" fontId="58" fillId="0" borderId="23" xfId="157" applyNumberFormat="1" applyFont="1" applyBorder="1" applyAlignment="1">
      <alignment horizontal="center" readingOrder="2"/>
    </xf>
    <xf numFmtId="179" fontId="58" fillId="0" borderId="24" xfId="157" applyNumberFormat="1" applyFont="1" applyBorder="1" applyAlignment="1">
      <alignment horizontal="center" readingOrder="2"/>
    </xf>
    <xf numFmtId="179" fontId="58" fillId="0" borderId="26" xfId="157" applyNumberFormat="1" applyFont="1" applyBorder="1" applyAlignment="1">
      <alignment horizontal="center" readingOrder="2"/>
    </xf>
    <xf numFmtId="179" fontId="58" fillId="0" borderId="30" xfId="157" applyNumberFormat="1" applyFont="1" applyBorder="1" applyAlignment="1">
      <alignment horizontal="center" readingOrder="2"/>
    </xf>
    <xf numFmtId="179" fontId="58" fillId="0" borderId="32" xfId="157" applyNumberFormat="1" applyFont="1" applyBorder="1" applyAlignment="1">
      <alignment horizontal="center" readingOrder="2"/>
    </xf>
    <xf numFmtId="179" fontId="96" fillId="20" borderId="18" xfId="22" applyNumberFormat="1" applyFont="1" applyFill="1" applyBorder="1" applyAlignment="1">
      <alignment horizontal="center" vertical="center" readingOrder="2"/>
    </xf>
    <xf numFmtId="0" fontId="119" fillId="0" borderId="0" xfId="22" applyFont="1" applyFill="1"/>
    <xf numFmtId="0" fontId="119" fillId="0" borderId="0" xfId="22" applyFont="1" applyFill="1" applyAlignment="1">
      <alignment horizontal="center" readingOrder="2"/>
    </xf>
    <xf numFmtId="0" fontId="119" fillId="2" borderId="0" xfId="22" applyFont="1" applyFill="1" applyAlignment="1">
      <alignment horizontal="center" readingOrder="2"/>
    </xf>
    <xf numFmtId="3" fontId="119" fillId="0" borderId="0" xfId="22" applyNumberFormat="1" applyFont="1" applyFill="1" applyAlignment="1">
      <alignment horizontal="center" readingOrder="2"/>
    </xf>
    <xf numFmtId="0" fontId="119" fillId="20" borderId="48" xfId="22" applyFont="1" applyFill="1" applyBorder="1" applyAlignment="1">
      <alignment horizontal="center" vertical="center" readingOrder="2"/>
    </xf>
    <xf numFmtId="0" fontId="119" fillId="20" borderId="41" xfId="22" applyFont="1" applyFill="1" applyBorder="1" applyAlignment="1">
      <alignment horizontal="center" vertical="center" readingOrder="2"/>
    </xf>
    <xf numFmtId="0" fontId="119" fillId="20" borderId="45" xfId="22" applyFont="1" applyFill="1" applyBorder="1" applyAlignment="1">
      <alignment horizontal="center" vertical="center" readingOrder="2"/>
    </xf>
    <xf numFmtId="179" fontId="201" fillId="2" borderId="49" xfId="158" applyNumberFormat="1" applyFont="1" applyFill="1" applyBorder="1" applyAlignment="1">
      <alignment horizontal="right" indent="3" readingOrder="2"/>
    </xf>
    <xf numFmtId="179" fontId="201" fillId="2" borderId="50" xfId="158" applyNumberFormat="1" applyFont="1" applyFill="1" applyBorder="1" applyAlignment="1">
      <alignment horizontal="right" indent="3" readingOrder="2"/>
    </xf>
    <xf numFmtId="179" fontId="119" fillId="28" borderId="76" xfId="22" applyNumberFormat="1" applyFont="1" applyFill="1" applyBorder="1" applyAlignment="1">
      <alignment horizontal="right" vertical="center" indent="3" readingOrder="2"/>
    </xf>
    <xf numFmtId="179" fontId="201" fillId="2" borderId="25" xfId="158" applyNumberFormat="1" applyFont="1" applyFill="1" applyBorder="1" applyAlignment="1">
      <alignment horizontal="right" indent="3" readingOrder="2"/>
    </xf>
    <xf numFmtId="179" fontId="201" fillId="2" borderId="93" xfId="158" applyNumberFormat="1" applyFont="1" applyFill="1" applyBorder="1" applyAlignment="1">
      <alignment horizontal="right" indent="3" readingOrder="2"/>
    </xf>
    <xf numFmtId="179" fontId="119" fillId="28" borderId="12" xfId="22" applyNumberFormat="1" applyFont="1" applyFill="1" applyBorder="1" applyAlignment="1">
      <alignment horizontal="right" vertical="center" indent="3" readingOrder="2"/>
    </xf>
    <xf numFmtId="179" fontId="119" fillId="2" borderId="93" xfId="22" applyNumberFormat="1" applyFont="1" applyFill="1" applyBorder="1" applyAlignment="1">
      <alignment horizontal="right" indent="3" readingOrder="2"/>
    </xf>
    <xf numFmtId="179" fontId="201" fillId="0" borderId="0" xfId="158" applyNumberFormat="1" applyFont="1" applyFill="1" applyAlignment="1">
      <alignment horizontal="right" indent="3" readingOrder="2"/>
    </xf>
    <xf numFmtId="179" fontId="201" fillId="2" borderId="28" xfId="158" applyNumberFormat="1" applyFont="1" applyFill="1" applyBorder="1" applyAlignment="1">
      <alignment horizontal="right" indent="3" readingOrder="2"/>
    </xf>
    <xf numFmtId="179" fontId="201" fillId="2" borderId="56" xfId="158" applyNumberFormat="1" applyFont="1" applyFill="1" applyBorder="1" applyAlignment="1">
      <alignment horizontal="right" indent="3" readingOrder="2"/>
    </xf>
    <xf numFmtId="179" fontId="119" fillId="28" borderId="33" xfId="22" applyNumberFormat="1" applyFont="1" applyFill="1" applyBorder="1" applyAlignment="1">
      <alignment horizontal="right" vertical="center" indent="3" readingOrder="2"/>
    </xf>
    <xf numFmtId="179" fontId="119" fillId="20" borderId="48" xfId="22" applyNumberFormat="1" applyFont="1" applyFill="1" applyBorder="1" applyAlignment="1">
      <alignment horizontal="right" vertical="center" indent="3" readingOrder="2"/>
    </xf>
    <xf numFmtId="179" fontId="119" fillId="20" borderId="41" xfId="22" applyNumberFormat="1" applyFont="1" applyFill="1" applyBorder="1" applyAlignment="1">
      <alignment horizontal="right" vertical="center" indent="3" readingOrder="2"/>
    </xf>
    <xf numFmtId="179" fontId="119" fillId="20" borderId="45" xfId="22" applyNumberFormat="1" applyFont="1" applyFill="1" applyBorder="1" applyAlignment="1">
      <alignment horizontal="right" vertical="center" indent="3" readingOrder="2"/>
    </xf>
    <xf numFmtId="0" fontId="119" fillId="20" borderId="68" xfId="22" applyFont="1" applyFill="1" applyBorder="1" applyAlignment="1">
      <alignment horizontal="center" vertical="center" readingOrder="2"/>
    </xf>
    <xf numFmtId="179" fontId="201" fillId="0" borderId="72" xfId="158" applyNumberFormat="1" applyFont="1" applyFill="1" applyBorder="1" applyAlignment="1">
      <alignment horizontal="right" wrapText="1" indent="9" readingOrder="2"/>
    </xf>
    <xf numFmtId="179" fontId="201" fillId="0" borderId="27" xfId="158" applyNumberFormat="1" applyFont="1" applyFill="1" applyBorder="1" applyAlignment="1">
      <alignment horizontal="right" indent="3" readingOrder="2"/>
    </xf>
    <xf numFmtId="179" fontId="119" fillId="0" borderId="27" xfId="22" applyNumberFormat="1" applyFont="1" applyFill="1" applyBorder="1" applyAlignment="1">
      <alignment horizontal="right" vertical="center" indent="3" readingOrder="2"/>
    </xf>
    <xf numFmtId="179" fontId="119" fillId="2" borderId="27" xfId="22" applyNumberFormat="1" applyFont="1" applyFill="1" applyBorder="1" applyAlignment="1">
      <alignment horizontal="right" vertical="center" indent="3" readingOrder="2"/>
    </xf>
    <xf numFmtId="179" fontId="119" fillId="0" borderId="53" xfId="22" applyNumberFormat="1" applyFont="1" applyFill="1" applyBorder="1" applyAlignment="1">
      <alignment horizontal="right" vertical="center" indent="3" readingOrder="2"/>
    </xf>
    <xf numFmtId="179" fontId="119" fillId="20" borderId="68" xfId="22" applyNumberFormat="1" applyFont="1" applyFill="1" applyBorder="1" applyAlignment="1">
      <alignment horizontal="right" vertical="center" indent="3" readingOrder="2"/>
    </xf>
    <xf numFmtId="0" fontId="119" fillId="0" borderId="0" xfId="22" applyFont="1" applyFill="1" applyBorder="1" applyAlignment="1">
      <alignment vertical="center" wrapText="1" readingOrder="2"/>
    </xf>
    <xf numFmtId="0" fontId="119" fillId="0" borderId="0" xfId="22" applyFont="1" applyFill="1" applyBorder="1" applyAlignment="1"/>
    <xf numFmtId="0" fontId="119" fillId="0" borderId="0" xfId="22" applyFont="1" applyFill="1" applyBorder="1" applyAlignment="1">
      <alignment horizontal="left"/>
    </xf>
    <xf numFmtId="0" fontId="11" fillId="20" borderId="31" xfId="1" applyFont="1" applyFill="1" applyBorder="1" applyAlignment="1">
      <alignment horizontal="center" vertical="center" textRotation="90"/>
    </xf>
    <xf numFmtId="0" fontId="11" fillId="20" borderId="91" xfId="1" applyFont="1" applyFill="1" applyBorder="1" applyAlignment="1">
      <alignment horizontal="center" vertical="center" textRotation="90"/>
    </xf>
    <xf numFmtId="0" fontId="12" fillId="20" borderId="45" xfId="1" applyFont="1" applyFill="1" applyBorder="1" applyAlignment="1">
      <alignment horizontal="center" vertical="center"/>
    </xf>
    <xf numFmtId="0" fontId="11" fillId="20" borderId="55" xfId="1" applyFont="1" applyFill="1" applyBorder="1" applyAlignment="1">
      <alignment horizontal="center" vertical="center" textRotation="90"/>
    </xf>
    <xf numFmtId="0" fontId="17" fillId="20" borderId="30" xfId="1" applyFont="1" applyFill="1" applyBorder="1" applyAlignment="1">
      <alignment horizontal="center" vertical="center" textRotation="90"/>
    </xf>
    <xf numFmtId="0" fontId="11" fillId="20" borderId="32" xfId="1" applyFont="1" applyFill="1" applyBorder="1" applyAlignment="1">
      <alignment horizontal="center" vertical="center" textRotation="90"/>
    </xf>
    <xf numFmtId="3" fontId="13" fillId="0" borderId="37" xfId="25" applyNumberFormat="1" applyFont="1" applyBorder="1" applyAlignment="1">
      <alignment horizontal="right" vertical="center" readingOrder="2"/>
    </xf>
    <xf numFmtId="3" fontId="12" fillId="0" borderId="38" xfId="1" applyNumberFormat="1" applyFont="1" applyFill="1" applyBorder="1" applyAlignment="1">
      <alignment horizontal="right" vertical="center"/>
    </xf>
    <xf numFmtId="3" fontId="13" fillId="0" borderId="24" xfId="25" applyNumberFormat="1" applyFont="1" applyBorder="1" applyAlignment="1">
      <alignment horizontal="right" vertical="center" readingOrder="2"/>
    </xf>
    <xf numFmtId="3" fontId="12" fillId="0" borderId="26" xfId="1" applyNumberFormat="1" applyFont="1" applyFill="1" applyBorder="1" applyAlignment="1">
      <alignment horizontal="right" vertical="center"/>
    </xf>
    <xf numFmtId="3" fontId="13" fillId="0" borderId="39" xfId="25" applyNumberFormat="1" applyFont="1" applyBorder="1" applyAlignment="1">
      <alignment horizontal="right" vertical="center" readingOrder="2"/>
    </xf>
    <xf numFmtId="3" fontId="12" fillId="0" borderId="40" xfId="1" applyNumberFormat="1" applyFont="1" applyFill="1" applyBorder="1" applyAlignment="1">
      <alignment horizontal="right" vertical="center"/>
    </xf>
    <xf numFmtId="3" fontId="13" fillId="20" borderId="35" xfId="25" applyNumberFormat="1" applyFont="1" applyFill="1" applyBorder="1" applyAlignment="1">
      <alignment horizontal="right" vertical="center" readingOrder="2"/>
    </xf>
    <xf numFmtId="3" fontId="12" fillId="20" borderId="36" xfId="1" applyNumberFormat="1" applyFont="1" applyFill="1" applyBorder="1" applyAlignment="1">
      <alignment horizontal="right" vertical="center"/>
    </xf>
    <xf numFmtId="3" fontId="12" fillId="20" borderId="45" xfId="1" applyNumberFormat="1" applyFont="1" applyFill="1" applyBorder="1" applyAlignment="1">
      <alignment horizontal="right" vertical="center" readingOrder="2"/>
    </xf>
    <xf numFmtId="181" fontId="115" fillId="19" borderId="72" xfId="158" applyNumberFormat="1" applyFont="1" applyFill="1" applyBorder="1" applyAlignment="1" applyProtection="1">
      <alignment horizontal="left" vertical="center" wrapText="1" readingOrder="2"/>
      <protection locked="0"/>
    </xf>
    <xf numFmtId="181" fontId="115" fillId="19" borderId="49" xfId="158" applyNumberFormat="1" applyFont="1" applyFill="1" applyBorder="1" applyAlignment="1" applyProtection="1">
      <alignment horizontal="left" vertical="center" wrapText="1" readingOrder="2"/>
      <protection locked="0"/>
    </xf>
    <xf numFmtId="3" fontId="34" fillId="19" borderId="50" xfId="24" applyNumberFormat="1" applyFont="1" applyFill="1" applyBorder="1" applyAlignment="1" applyProtection="1">
      <alignment horizontal="left" vertical="center" wrapText="1" readingOrder="2"/>
      <protection locked="0"/>
    </xf>
    <xf numFmtId="181" fontId="115" fillId="19" borderId="27" xfId="158" applyNumberFormat="1" applyFont="1" applyFill="1" applyBorder="1" applyAlignment="1" applyProtection="1">
      <alignment horizontal="left" vertical="center" wrapText="1" readingOrder="2"/>
      <protection locked="0"/>
    </xf>
    <xf numFmtId="181" fontId="115" fillId="19" borderId="25" xfId="158" applyNumberFormat="1" applyFont="1" applyFill="1" applyBorder="1" applyAlignment="1" applyProtection="1">
      <alignment horizontal="left" vertical="center" wrapText="1" readingOrder="2"/>
      <protection locked="0"/>
    </xf>
    <xf numFmtId="3" fontId="34" fillId="19" borderId="93" xfId="24" applyNumberFormat="1" applyFont="1" applyFill="1" applyBorder="1" applyAlignment="1" applyProtection="1">
      <alignment horizontal="left" vertical="center" wrapText="1" readingOrder="2"/>
      <protection locked="0"/>
    </xf>
    <xf numFmtId="181" fontId="115" fillId="19" borderId="53" xfId="158" applyNumberFormat="1" applyFont="1" applyFill="1" applyBorder="1" applyAlignment="1" applyProtection="1">
      <alignment horizontal="left" vertical="center" wrapText="1" readingOrder="2"/>
      <protection locked="0"/>
    </xf>
    <xf numFmtId="179" fontId="34" fillId="2" borderId="28" xfId="24" applyNumberFormat="1" applyFont="1" applyFill="1" applyBorder="1" applyAlignment="1" applyProtection="1">
      <alignment horizontal="left" vertical="center" wrapText="1" readingOrder="2"/>
      <protection locked="0"/>
    </xf>
    <xf numFmtId="181" fontId="115" fillId="19" borderId="28" xfId="158" applyNumberFormat="1" applyFont="1" applyFill="1" applyBorder="1" applyAlignment="1" applyProtection="1">
      <alignment horizontal="left" vertical="center" wrapText="1" readingOrder="2"/>
      <protection locked="0"/>
    </xf>
    <xf numFmtId="3" fontId="34" fillId="19" borderId="56" xfId="24" applyNumberFormat="1" applyFont="1" applyFill="1" applyBorder="1" applyAlignment="1" applyProtection="1">
      <alignment horizontal="left" vertical="center" wrapText="1" readingOrder="2"/>
      <protection locked="0"/>
    </xf>
    <xf numFmtId="3" fontId="34" fillId="20" borderId="68" xfId="24" applyNumberFormat="1" applyFont="1" applyFill="1" applyBorder="1" applyAlignment="1" applyProtection="1">
      <alignment horizontal="left" vertical="center" wrapText="1" readingOrder="2"/>
      <protection locked="0"/>
    </xf>
    <xf numFmtId="3" fontId="34" fillId="20" borderId="48" xfId="24" applyNumberFormat="1" applyFont="1" applyFill="1" applyBorder="1" applyAlignment="1" applyProtection="1">
      <alignment horizontal="left" vertical="center" wrapText="1" readingOrder="2"/>
      <protection locked="0"/>
    </xf>
    <xf numFmtId="3" fontId="34" fillId="29" borderId="41" xfId="24" applyNumberFormat="1" applyFont="1" applyFill="1" applyBorder="1" applyAlignment="1" applyProtection="1">
      <alignment horizontal="left" vertical="center" wrapText="1" readingOrder="2"/>
      <protection locked="0"/>
    </xf>
    <xf numFmtId="3" fontId="9" fillId="0" borderId="20" xfId="1" applyNumberFormat="1" applyFont="1" applyFill="1" applyBorder="1" applyAlignment="1"/>
    <xf numFmtId="3" fontId="16" fillId="0" borderId="49" xfId="25" applyNumberFormat="1" applyFont="1" applyBorder="1" applyAlignment="1">
      <alignment horizontal="center" readingOrder="2"/>
    </xf>
    <xf numFmtId="3" fontId="11" fillId="0" borderId="49" xfId="1" applyNumberFormat="1" applyFont="1" applyFill="1" applyBorder="1" applyAlignment="1">
      <alignment horizontal="center" readingOrder="2"/>
    </xf>
    <xf numFmtId="0" fontId="12" fillId="20" borderId="35" xfId="1" applyFont="1" applyFill="1" applyBorder="1" applyAlignment="1">
      <alignment horizontal="center" vertical="center" readingOrder="2"/>
    </xf>
    <xf numFmtId="0" fontId="12" fillId="20" borderId="48" xfId="1" applyFont="1" applyFill="1" applyBorder="1" applyAlignment="1">
      <alignment horizontal="center" vertical="center" readingOrder="2"/>
    </xf>
    <xf numFmtId="0" fontId="12" fillId="20" borderId="41" xfId="1" applyFont="1" applyFill="1" applyBorder="1" applyAlignment="1">
      <alignment horizontal="center" vertical="center" readingOrder="2"/>
    </xf>
    <xf numFmtId="3" fontId="16" fillId="0" borderId="50" xfId="25" applyNumberFormat="1" applyFont="1" applyBorder="1" applyAlignment="1">
      <alignment horizontal="center" readingOrder="2"/>
    </xf>
    <xf numFmtId="3" fontId="16" fillId="0" borderId="93" xfId="25" applyNumberFormat="1" applyFont="1" applyBorder="1" applyAlignment="1">
      <alignment horizontal="center" readingOrder="2"/>
    </xf>
    <xf numFmtId="0" fontId="12" fillId="20" borderId="45" xfId="1" applyFont="1" applyFill="1" applyBorder="1" applyAlignment="1">
      <alignment horizontal="center" vertical="center" readingOrder="2"/>
    </xf>
    <xf numFmtId="3" fontId="16" fillId="0" borderId="28" xfId="25" applyNumberFormat="1" applyFont="1" applyBorder="1" applyAlignment="1">
      <alignment horizontal="center" readingOrder="2"/>
    </xf>
    <xf numFmtId="3" fontId="11" fillId="0" borderId="28" xfId="1" applyNumberFormat="1" applyFont="1" applyFill="1" applyBorder="1" applyAlignment="1">
      <alignment horizontal="center" readingOrder="2"/>
    </xf>
    <xf numFmtId="3" fontId="16" fillId="0" borderId="56" xfId="25" applyNumberFormat="1" applyFont="1" applyBorder="1" applyAlignment="1">
      <alignment horizontal="center" readingOrder="2"/>
    </xf>
    <xf numFmtId="3" fontId="11" fillId="20" borderId="48" xfId="1" applyNumberFormat="1" applyFont="1" applyFill="1" applyBorder="1" applyAlignment="1">
      <alignment horizontal="center" readingOrder="2"/>
    </xf>
    <xf numFmtId="3" fontId="11" fillId="20" borderId="41" xfId="1" applyNumberFormat="1" applyFont="1" applyFill="1" applyBorder="1" applyAlignment="1">
      <alignment horizontal="center" readingOrder="2"/>
    </xf>
    <xf numFmtId="3" fontId="11" fillId="20" borderId="45" xfId="1" applyNumberFormat="1" applyFont="1" applyFill="1" applyBorder="1" applyAlignment="1">
      <alignment horizontal="center" readingOrder="2"/>
    </xf>
    <xf numFmtId="3" fontId="16" fillId="0" borderId="72" xfId="25" applyNumberFormat="1" applyFont="1" applyBorder="1" applyAlignment="1">
      <alignment horizontal="center"/>
    </xf>
    <xf numFmtId="3" fontId="16" fillId="0" borderId="27" xfId="25" applyNumberFormat="1" applyFont="1" applyBorder="1" applyAlignment="1">
      <alignment horizontal="center"/>
    </xf>
    <xf numFmtId="3" fontId="16" fillId="0" borderId="27" xfId="25" applyNumberFormat="1" applyFont="1" applyBorder="1" applyAlignment="1">
      <alignment horizontal="center" readingOrder="2"/>
    </xf>
    <xf numFmtId="3" fontId="16" fillId="0" borderId="53" xfId="25" applyNumberFormat="1" applyFont="1" applyBorder="1" applyAlignment="1">
      <alignment horizontal="center" readingOrder="2"/>
    </xf>
    <xf numFmtId="0" fontId="9" fillId="28" borderId="9" xfId="1" applyFont="1" applyFill="1" applyBorder="1" applyAlignment="1">
      <alignment horizontal="center" vertical="center" readingOrder="2"/>
    </xf>
    <xf numFmtId="0" fontId="9" fillId="28" borderId="12" xfId="1" applyFont="1" applyFill="1" applyBorder="1" applyAlignment="1">
      <alignment horizontal="center" vertical="center" readingOrder="2"/>
    </xf>
    <xf numFmtId="0" fontId="9" fillId="28" borderId="15" xfId="1" applyFont="1" applyFill="1" applyBorder="1" applyAlignment="1">
      <alignment horizontal="center" vertical="center" readingOrder="2"/>
    </xf>
    <xf numFmtId="3" fontId="11" fillId="28" borderId="76" xfId="1" applyNumberFormat="1" applyFont="1" applyFill="1" applyBorder="1" applyAlignment="1">
      <alignment horizontal="center" readingOrder="2"/>
    </xf>
    <xf numFmtId="3" fontId="11" fillId="28" borderId="12" xfId="1" applyNumberFormat="1" applyFont="1" applyFill="1" applyBorder="1" applyAlignment="1">
      <alignment horizontal="center" readingOrder="2"/>
    </xf>
    <xf numFmtId="3" fontId="11" fillId="28" borderId="33" xfId="1" applyNumberFormat="1" applyFont="1" applyFill="1" applyBorder="1" applyAlignment="1">
      <alignment horizontal="center" readingOrder="2"/>
    </xf>
    <xf numFmtId="0" fontId="12" fillId="28" borderId="76" xfId="1" applyFont="1" applyFill="1" applyBorder="1" applyAlignment="1">
      <alignment horizontal="center" vertical="center"/>
    </xf>
    <xf numFmtId="0" fontId="12" fillId="28" borderId="12" xfId="1" applyFont="1" applyFill="1" applyBorder="1" applyAlignment="1">
      <alignment horizontal="center" vertical="center"/>
    </xf>
    <xf numFmtId="0" fontId="12" fillId="28" borderId="33" xfId="1" applyFont="1" applyFill="1" applyBorder="1" applyAlignment="1">
      <alignment horizontal="center" vertical="center"/>
    </xf>
    <xf numFmtId="3" fontId="12" fillId="28" borderId="76" xfId="1" applyNumberFormat="1" applyFont="1" applyFill="1" applyBorder="1" applyAlignment="1">
      <alignment horizontal="right" vertical="center" readingOrder="2"/>
    </xf>
    <xf numFmtId="3" fontId="12" fillId="28" borderId="12" xfId="1" applyNumberFormat="1" applyFont="1" applyFill="1" applyBorder="1" applyAlignment="1">
      <alignment horizontal="right" vertical="center" readingOrder="2"/>
    </xf>
    <xf numFmtId="3" fontId="12" fillId="28" borderId="33" xfId="1" applyNumberFormat="1" applyFont="1" applyFill="1" applyBorder="1" applyAlignment="1">
      <alignment horizontal="right" vertical="center" readingOrder="2"/>
    </xf>
    <xf numFmtId="0" fontId="11" fillId="28" borderId="24" xfId="1" applyFont="1" applyFill="1" applyBorder="1" applyAlignment="1">
      <alignment horizontal="center" vertical="center"/>
    </xf>
    <xf numFmtId="0" fontId="11" fillId="28" borderId="39" xfId="1" applyFont="1" applyFill="1" applyBorder="1" applyAlignment="1">
      <alignment horizontal="center" vertical="center"/>
    </xf>
    <xf numFmtId="0" fontId="11" fillId="20" borderId="31" xfId="1" applyFont="1" applyFill="1" applyBorder="1" applyAlignment="1">
      <alignment horizontal="center" vertical="center"/>
    </xf>
    <xf numFmtId="0" fontId="11" fillId="20" borderId="35" xfId="1" applyFont="1" applyFill="1" applyBorder="1" applyAlignment="1">
      <alignment horizontal="center" vertical="center"/>
    </xf>
    <xf numFmtId="179" fontId="32" fillId="20" borderId="48" xfId="1" applyNumberFormat="1" applyFont="1" applyFill="1" applyBorder="1" applyAlignment="1">
      <alignment horizontal="center" vertical="center"/>
    </xf>
    <xf numFmtId="9" fontId="82" fillId="20" borderId="36" xfId="1" applyNumberFormat="1" applyFont="1" applyFill="1" applyBorder="1" applyAlignment="1">
      <alignment horizontal="center" vertical="center"/>
    </xf>
    <xf numFmtId="3" fontId="11" fillId="20" borderId="45" xfId="1" applyNumberFormat="1" applyFont="1" applyFill="1" applyBorder="1" applyAlignment="1">
      <alignment horizontal="center" vertical="center"/>
    </xf>
    <xf numFmtId="3" fontId="11" fillId="20" borderId="68" xfId="1" applyNumberFormat="1" applyFont="1" applyFill="1" applyBorder="1" applyAlignment="1">
      <alignment horizontal="center" vertical="center" textRotation="90"/>
    </xf>
    <xf numFmtId="3" fontId="11" fillId="20" borderId="48" xfId="1" applyNumberFormat="1" applyFont="1" applyFill="1" applyBorder="1" applyAlignment="1">
      <alignment horizontal="center" vertical="center" textRotation="90"/>
    </xf>
    <xf numFmtId="3" fontId="11" fillId="20" borderId="41" xfId="1" applyNumberFormat="1" applyFont="1" applyFill="1" applyBorder="1" applyAlignment="1">
      <alignment horizontal="center" vertical="center" textRotation="90"/>
    </xf>
    <xf numFmtId="3" fontId="116" fillId="20" borderId="45" xfId="25" applyNumberFormat="1" applyFill="1" applyBorder="1" applyAlignment="1">
      <alignment horizontal="center" vertical="center"/>
    </xf>
    <xf numFmtId="3" fontId="12" fillId="20" borderId="45" xfId="1" applyNumberFormat="1" applyFont="1" applyFill="1" applyBorder="1" applyAlignment="1">
      <alignment horizontal="center" vertical="center"/>
    </xf>
    <xf numFmtId="3" fontId="26" fillId="20" borderId="54" xfId="25" applyNumberFormat="1" applyFont="1" applyFill="1" applyBorder="1" applyAlignment="1">
      <alignment horizontal="center" vertical="center" readingOrder="2"/>
    </xf>
    <xf numFmtId="3" fontId="26" fillId="20" borderId="58" xfId="25" applyNumberFormat="1" applyFont="1" applyFill="1" applyBorder="1" applyAlignment="1">
      <alignment horizontal="center" vertical="center" readingOrder="2"/>
    </xf>
    <xf numFmtId="3" fontId="17" fillId="20" borderId="58" xfId="1" applyNumberFormat="1" applyFont="1" applyFill="1" applyBorder="1" applyAlignment="1">
      <alignment horizontal="center" vertical="center" readingOrder="2"/>
    </xf>
    <xf numFmtId="3" fontId="17" fillId="20" borderId="59" xfId="1" applyNumberFormat="1" applyFont="1" applyFill="1" applyBorder="1" applyAlignment="1">
      <alignment horizontal="center" vertical="center" readingOrder="2"/>
    </xf>
    <xf numFmtId="3" fontId="26" fillId="20" borderId="45" xfId="25" applyNumberFormat="1" applyFont="1" applyFill="1" applyBorder="1" applyAlignment="1">
      <alignment horizontal="center" vertical="center" readingOrder="2"/>
    </xf>
    <xf numFmtId="3" fontId="13" fillId="28" borderId="66" xfId="25" applyNumberFormat="1" applyFont="1" applyFill="1" applyBorder="1" applyAlignment="1">
      <alignment horizontal="center" readingOrder="2"/>
    </xf>
    <xf numFmtId="3" fontId="13" fillId="28" borderId="13" xfId="25" applyNumberFormat="1" applyFont="1" applyFill="1" applyBorder="1" applyAlignment="1">
      <alignment horizontal="center" readingOrder="2"/>
    </xf>
    <xf numFmtId="3" fontId="13" fillId="28" borderId="34" xfId="25" applyNumberFormat="1" applyFont="1" applyFill="1" applyBorder="1" applyAlignment="1">
      <alignment horizontal="center" readingOrder="2"/>
    </xf>
    <xf numFmtId="3" fontId="12" fillId="28" borderId="76" xfId="1" applyNumberFormat="1" applyFont="1" applyFill="1" applyBorder="1" applyAlignment="1">
      <alignment horizontal="center" vertical="center"/>
    </xf>
    <xf numFmtId="3" fontId="12" fillId="28" borderId="12" xfId="1" applyNumberFormat="1" applyFont="1" applyFill="1" applyBorder="1" applyAlignment="1">
      <alignment horizontal="center" vertical="center"/>
    </xf>
    <xf numFmtId="3" fontId="12" fillId="28" borderId="33" xfId="1" applyNumberFormat="1" applyFont="1" applyFill="1" applyBorder="1" applyAlignment="1">
      <alignment horizontal="center" vertical="center"/>
    </xf>
    <xf numFmtId="3" fontId="11" fillId="0" borderId="49" xfId="1" applyNumberFormat="1" applyFont="1" applyFill="1" applyBorder="1" applyAlignment="1">
      <alignment horizontal="center" vertical="center" readingOrder="2"/>
    </xf>
    <xf numFmtId="3" fontId="16" fillId="0" borderId="49" xfId="158" applyNumberFormat="1" applyFont="1" applyBorder="1" applyAlignment="1">
      <alignment horizontal="center" vertical="center" readingOrder="2"/>
    </xf>
    <xf numFmtId="3" fontId="11" fillId="0" borderId="38" xfId="1" applyNumberFormat="1" applyFont="1" applyFill="1" applyBorder="1" applyAlignment="1">
      <alignment horizontal="center" vertical="center" readingOrder="2"/>
    </xf>
    <xf numFmtId="3" fontId="24" fillId="20" borderId="35" xfId="1" applyNumberFormat="1" applyFont="1" applyFill="1" applyBorder="1" applyAlignment="1">
      <alignment horizontal="center" vertical="center"/>
    </xf>
    <xf numFmtId="3" fontId="24" fillId="20" borderId="48" xfId="1" applyNumberFormat="1" applyFont="1" applyFill="1" applyBorder="1" applyAlignment="1">
      <alignment horizontal="center" vertical="center" textRotation="90"/>
    </xf>
    <xf numFmtId="3" fontId="24" fillId="20" borderId="36" xfId="1" applyNumberFormat="1" applyFont="1" applyFill="1" applyBorder="1" applyAlignment="1">
      <alignment horizontal="center" vertical="center"/>
    </xf>
    <xf numFmtId="3" fontId="24" fillId="20" borderId="30" xfId="1" applyNumberFormat="1" applyFont="1" applyFill="1" applyBorder="1" applyAlignment="1">
      <alignment horizontal="center" vertical="center" readingOrder="2"/>
    </xf>
    <xf numFmtId="3" fontId="11" fillId="20" borderId="31" xfId="1" applyNumberFormat="1" applyFont="1" applyFill="1" applyBorder="1" applyAlignment="1">
      <alignment horizontal="center" vertical="center" readingOrder="2"/>
    </xf>
    <xf numFmtId="3" fontId="11" fillId="20" borderId="32" xfId="1" applyNumberFormat="1" applyFont="1" applyFill="1" applyBorder="1" applyAlignment="1">
      <alignment horizontal="center" vertical="center" readingOrder="2"/>
    </xf>
    <xf numFmtId="3" fontId="24" fillId="23" borderId="37" xfId="1" applyNumberFormat="1" applyFont="1" applyFill="1" applyBorder="1" applyAlignment="1">
      <alignment horizontal="center" vertical="center" readingOrder="2"/>
    </xf>
    <xf numFmtId="3" fontId="24" fillId="23" borderId="24" xfId="1" applyNumberFormat="1" applyFont="1" applyFill="1" applyBorder="1" applyAlignment="1">
      <alignment horizontal="center" vertical="center" readingOrder="2"/>
    </xf>
    <xf numFmtId="3" fontId="32" fillId="2" borderId="92" xfId="129" applyNumberFormat="1" applyFont="1" applyFill="1" applyBorder="1" applyAlignment="1">
      <alignment horizontal="center" vertical="center"/>
    </xf>
    <xf numFmtId="0" fontId="9" fillId="0" borderId="0" xfId="8" applyFont="1" applyAlignment="1">
      <alignment horizontal="center" vertical="center"/>
    </xf>
    <xf numFmtId="3" fontId="40" fillId="0" borderId="0" xfId="1" applyNumberFormat="1" applyFont="1" applyFill="1" applyAlignment="1">
      <alignment horizontal="right"/>
    </xf>
    <xf numFmtId="3" fontId="121" fillId="0" borderId="76" xfId="4" applyNumberFormat="1" applyFont="1" applyFill="1" applyBorder="1" applyAlignment="1">
      <alignment horizontal="right" vertical="center" indent="1"/>
    </xf>
    <xf numFmtId="0" fontId="21" fillId="20" borderId="45" xfId="4" applyFont="1" applyFill="1" applyBorder="1" applyAlignment="1">
      <alignment horizontal="center" vertical="center" wrapText="1"/>
    </xf>
    <xf numFmtId="0" fontId="21" fillId="20" borderId="68" xfId="4" applyFont="1" applyFill="1" applyBorder="1" applyAlignment="1">
      <alignment horizontal="center" vertical="center" textRotation="90" wrapText="1"/>
    </xf>
    <xf numFmtId="0" fontId="21" fillId="20" borderId="48" xfId="4" applyFont="1" applyFill="1" applyBorder="1" applyAlignment="1">
      <alignment horizontal="center" vertical="center" textRotation="90" wrapText="1"/>
    </xf>
    <xf numFmtId="0" fontId="21" fillId="20" borderId="41" xfId="4" applyFont="1" applyFill="1" applyBorder="1" applyAlignment="1">
      <alignment horizontal="center" vertical="center" textRotation="90" wrapText="1"/>
    </xf>
    <xf numFmtId="0" fontId="12" fillId="28" borderId="9" xfId="4" applyFont="1" applyFill="1" applyBorder="1" applyAlignment="1">
      <alignment horizontal="center" vertical="center" wrapText="1"/>
    </xf>
    <xf numFmtId="0" fontId="12" fillId="28" borderId="12" xfId="4" applyFont="1" applyFill="1" applyBorder="1" applyAlignment="1">
      <alignment horizontal="center" vertical="center" wrapText="1"/>
    </xf>
    <xf numFmtId="0" fontId="12" fillId="28" borderId="33" xfId="4" applyFont="1" applyFill="1" applyBorder="1" applyAlignment="1">
      <alignment horizontal="center" vertical="center" wrapText="1"/>
    </xf>
    <xf numFmtId="0" fontId="12" fillId="20" borderId="45" xfId="4" applyFont="1" applyFill="1" applyBorder="1" applyAlignment="1">
      <alignment horizontal="center" vertical="center" wrapText="1"/>
    </xf>
    <xf numFmtId="3" fontId="32" fillId="20" borderId="48" xfId="4" applyNumberFormat="1" applyFont="1" applyFill="1" applyBorder="1" applyAlignment="1">
      <alignment horizontal="right" vertical="center" indent="1"/>
    </xf>
    <xf numFmtId="3" fontId="32" fillId="20" borderId="41" xfId="4" applyNumberFormat="1" applyFont="1" applyFill="1" applyBorder="1" applyAlignment="1">
      <alignment horizontal="right" vertical="center" indent="1"/>
    </xf>
    <xf numFmtId="3" fontId="32" fillId="20" borderId="45" xfId="4" applyNumberFormat="1" applyFont="1" applyFill="1" applyBorder="1" applyAlignment="1">
      <alignment horizontal="right" vertical="center" indent="1"/>
    </xf>
    <xf numFmtId="3" fontId="201" fillId="0" borderId="25" xfId="12" applyNumberFormat="1" applyFont="1" applyBorder="1"/>
    <xf numFmtId="3" fontId="201" fillId="0" borderId="25" xfId="1" applyNumberFormat="1" applyFont="1" applyBorder="1" applyAlignment="1">
      <alignment horizontal="center" vertical="center"/>
    </xf>
    <xf numFmtId="3" fontId="82" fillId="2" borderId="44" xfId="1" applyNumberFormat="1" applyFont="1" applyFill="1" applyBorder="1" applyAlignment="1">
      <alignment horizontal="right" vertical="center"/>
    </xf>
    <xf numFmtId="3" fontId="82" fillId="0" borderId="7" xfId="1" applyNumberFormat="1" applyFont="1" applyBorder="1" applyAlignment="1">
      <alignment horizontal="right" vertical="center"/>
    </xf>
    <xf numFmtId="3" fontId="82" fillId="0" borderId="44" xfId="1" applyNumberFormat="1" applyFont="1" applyBorder="1" applyAlignment="1">
      <alignment horizontal="right" vertical="center"/>
    </xf>
    <xf numFmtId="3" fontId="82" fillId="2" borderId="7" xfId="1" applyNumberFormat="1" applyFont="1" applyFill="1" applyBorder="1" applyAlignment="1">
      <alignment horizontal="right" vertical="center"/>
    </xf>
    <xf numFmtId="3" fontId="201" fillId="0" borderId="25" xfId="17" applyNumberFormat="1" applyFont="1" applyFill="1" applyBorder="1" applyAlignment="1">
      <alignment horizontal="center" vertical="center"/>
    </xf>
    <xf numFmtId="3" fontId="201" fillId="0" borderId="25" xfId="17" applyNumberFormat="1" applyFont="1" applyFill="1" applyBorder="1" applyAlignment="1">
      <alignment horizontal="center" vertical="center" readingOrder="1"/>
    </xf>
    <xf numFmtId="3" fontId="82" fillId="0" borderId="19" xfId="1" applyNumberFormat="1" applyFont="1" applyBorder="1" applyAlignment="1">
      <alignment horizontal="right" vertical="center"/>
    </xf>
    <xf numFmtId="3" fontId="201" fillId="0" borderId="25" xfId="1" applyNumberFormat="1" applyFont="1" applyBorder="1" applyAlignment="1">
      <alignment horizontal="right" vertical="center"/>
    </xf>
    <xf numFmtId="3" fontId="32" fillId="0" borderId="0" xfId="1" applyNumberFormat="1" applyFont="1"/>
    <xf numFmtId="3" fontId="32" fillId="0" borderId="0" xfId="1" applyNumberFormat="1" applyFont="1" applyBorder="1" applyAlignment="1">
      <alignment horizontal="right" vertical="center" indent="1"/>
    </xf>
    <xf numFmtId="3" fontId="102" fillId="0" borderId="0" xfId="1" applyNumberFormat="1" applyFont="1" applyBorder="1" applyAlignment="1">
      <alignment horizontal="right" vertical="center" indent="1"/>
    </xf>
    <xf numFmtId="3" fontId="32" fillId="0" borderId="60" xfId="1" applyNumberFormat="1" applyFont="1" applyBorder="1" applyAlignment="1">
      <alignment horizontal="right" vertical="center" indent="1"/>
    </xf>
    <xf numFmtId="3" fontId="32" fillId="0" borderId="77" xfId="1" applyNumberFormat="1" applyFont="1" applyBorder="1" applyAlignment="1">
      <alignment horizontal="right" vertical="center" indent="1"/>
    </xf>
    <xf numFmtId="3" fontId="102" fillId="0" borderId="64" xfId="1" applyNumberFormat="1" applyFont="1" applyBorder="1" applyAlignment="1">
      <alignment horizontal="right" vertical="center" indent="1"/>
    </xf>
    <xf numFmtId="0" fontId="201" fillId="3" borderId="125" xfId="113" applyFont="1" applyFill="1" applyBorder="1" applyAlignment="1">
      <alignment horizontal="center" vertical="center"/>
    </xf>
    <xf numFmtId="0" fontId="201" fillId="3" borderId="129" xfId="113" applyFont="1" applyFill="1" applyBorder="1" applyAlignment="1">
      <alignment horizontal="center" vertical="center"/>
    </xf>
    <xf numFmtId="0" fontId="201" fillId="3" borderId="130" xfId="113" applyFont="1" applyFill="1" applyBorder="1" applyAlignment="1">
      <alignment horizontal="center" vertical="center" wrapText="1"/>
    </xf>
    <xf numFmtId="0" fontId="201" fillId="3" borderId="131" xfId="113" applyFont="1" applyFill="1" applyBorder="1" applyAlignment="1">
      <alignment horizontal="center" vertical="center" wrapText="1"/>
    </xf>
    <xf numFmtId="0" fontId="201" fillId="3" borderId="132" xfId="113" applyFont="1" applyFill="1" applyBorder="1" applyAlignment="1">
      <alignment horizontal="center" vertical="center" wrapText="1"/>
    </xf>
    <xf numFmtId="0" fontId="201" fillId="3" borderId="117" xfId="113" applyFont="1" applyFill="1" applyBorder="1" applyAlignment="1">
      <alignment horizontal="center" vertical="center"/>
    </xf>
    <xf numFmtId="171" fontId="201" fillId="20" borderId="133" xfId="113" applyNumberFormat="1" applyFont="1" applyFill="1" applyBorder="1" applyAlignment="1">
      <alignment horizontal="center" vertical="center"/>
    </xf>
    <xf numFmtId="171" fontId="201" fillId="0" borderId="121" xfId="113" applyNumberFormat="1" applyFont="1" applyBorder="1" applyAlignment="1">
      <alignment horizontal="center" vertical="center"/>
    </xf>
    <xf numFmtId="1" fontId="201" fillId="20" borderId="133" xfId="113" applyNumberFormat="1" applyFont="1" applyFill="1" applyBorder="1" applyAlignment="1">
      <alignment horizontal="center" vertical="center"/>
    </xf>
    <xf numFmtId="1" fontId="201" fillId="0" borderId="121" xfId="113" applyNumberFormat="1" applyFont="1" applyBorder="1" applyAlignment="1">
      <alignment horizontal="center" vertical="center"/>
    </xf>
    <xf numFmtId="1" fontId="201" fillId="20" borderId="72" xfId="113" applyNumberFormat="1" applyFont="1" applyFill="1" applyBorder="1" applyAlignment="1">
      <alignment horizontal="center" vertical="center"/>
    </xf>
    <xf numFmtId="0" fontId="201" fillId="3" borderId="118" xfId="113" applyFont="1" applyFill="1" applyBorder="1" applyAlignment="1">
      <alignment horizontal="center" vertical="center"/>
    </xf>
    <xf numFmtId="171" fontId="201" fillId="20" borderId="134" xfId="113" applyNumberFormat="1" applyFont="1" applyFill="1" applyBorder="1" applyAlignment="1">
      <alignment horizontal="center" vertical="center"/>
    </xf>
    <xf numFmtId="171" fontId="201" fillId="0" borderId="122" xfId="113" applyNumberFormat="1" applyFont="1" applyBorder="1" applyAlignment="1">
      <alignment horizontal="center" vertical="center"/>
    </xf>
    <xf numFmtId="1" fontId="201" fillId="20" borderId="134" xfId="113" applyNumberFormat="1" applyFont="1" applyFill="1" applyBorder="1" applyAlignment="1">
      <alignment horizontal="center" vertical="center"/>
    </xf>
    <xf numFmtId="1" fontId="201" fillId="0" borderId="122" xfId="113" applyNumberFormat="1" applyFont="1" applyBorder="1" applyAlignment="1">
      <alignment horizontal="center" vertical="center"/>
    </xf>
    <xf numFmtId="1" fontId="201" fillId="20" borderId="27" xfId="113" applyNumberFormat="1" applyFont="1" applyFill="1" applyBorder="1" applyAlignment="1">
      <alignment horizontal="center" vertical="center"/>
    </xf>
    <xf numFmtId="0" fontId="201" fillId="3" borderId="119" xfId="113" applyFont="1" applyFill="1" applyBorder="1" applyAlignment="1">
      <alignment horizontal="center" vertical="center"/>
    </xf>
    <xf numFmtId="171" fontId="201" fillId="20" borderId="135" xfId="113" applyNumberFormat="1" applyFont="1" applyFill="1" applyBorder="1" applyAlignment="1">
      <alignment horizontal="center" vertical="center"/>
    </xf>
    <xf numFmtId="171" fontId="201" fillId="0" borderId="123" xfId="113" applyNumberFormat="1" applyFont="1" applyBorder="1" applyAlignment="1">
      <alignment horizontal="center" vertical="center"/>
    </xf>
    <xf numFmtId="1" fontId="201" fillId="20" borderId="135" xfId="113" applyNumberFormat="1" applyFont="1" applyFill="1" applyBorder="1" applyAlignment="1">
      <alignment horizontal="center" vertical="center"/>
    </xf>
    <xf numFmtId="1" fontId="201" fillId="0" borderId="123" xfId="113" applyNumberFormat="1" applyFont="1" applyBorder="1" applyAlignment="1">
      <alignment horizontal="center" vertical="center"/>
    </xf>
    <xf numFmtId="1" fontId="201" fillId="20" borderId="53" xfId="113" applyNumberFormat="1" applyFont="1" applyFill="1" applyBorder="1" applyAlignment="1">
      <alignment horizontal="center" vertical="center"/>
    </xf>
    <xf numFmtId="0" fontId="201" fillId="20" borderId="116" xfId="113" applyFont="1" applyFill="1" applyBorder="1" applyAlignment="1">
      <alignment horizontal="center" vertical="center"/>
    </xf>
    <xf numFmtId="171" fontId="201" fillId="4" borderId="136" xfId="113" applyNumberFormat="1" applyFont="1" applyFill="1" applyBorder="1" applyAlignment="1">
      <alignment horizontal="center" vertical="center"/>
    </xf>
    <xf numFmtId="171" fontId="201" fillId="4" borderId="120" xfId="113" applyNumberFormat="1" applyFont="1" applyFill="1" applyBorder="1" applyAlignment="1">
      <alignment horizontal="center" vertical="center"/>
    </xf>
    <xf numFmtId="1" fontId="201" fillId="4" borderId="136" xfId="113" applyNumberFormat="1" applyFont="1" applyFill="1" applyBorder="1" applyAlignment="1">
      <alignment horizontal="center" vertical="center"/>
    </xf>
    <xf numFmtId="1" fontId="201" fillId="4" borderId="120" xfId="113" applyNumberFormat="1" applyFont="1" applyFill="1" applyBorder="1" applyAlignment="1">
      <alignment horizontal="center" vertical="center"/>
    </xf>
    <xf numFmtId="1" fontId="201" fillId="4" borderId="113" xfId="113" applyNumberFormat="1" applyFont="1" applyFill="1" applyBorder="1" applyAlignment="1">
      <alignment horizontal="center" vertical="center"/>
    </xf>
    <xf numFmtId="0" fontId="12" fillId="20" borderId="32" xfId="8" applyFont="1" applyFill="1" applyBorder="1" applyAlignment="1">
      <alignment horizontal="center" vertical="center"/>
    </xf>
    <xf numFmtId="0" fontId="12" fillId="28" borderId="5" xfId="8" applyFont="1" applyFill="1" applyBorder="1" applyAlignment="1">
      <alignment horizontal="center" vertical="center"/>
    </xf>
    <xf numFmtId="0" fontId="12" fillId="28" borderId="0" xfId="8" applyFont="1" applyFill="1" applyAlignment="1">
      <alignment horizontal="center" vertical="center"/>
    </xf>
    <xf numFmtId="0" fontId="12" fillId="28" borderId="7" xfId="8" applyFont="1" applyFill="1" applyBorder="1" applyAlignment="1">
      <alignment horizontal="center" vertical="center"/>
    </xf>
    <xf numFmtId="0" fontId="12" fillId="28" borderId="5" xfId="8" applyFont="1" applyFill="1" applyBorder="1" applyAlignment="1">
      <alignment horizontal="left" vertical="center" wrapText="1" indent="1"/>
    </xf>
    <xf numFmtId="0" fontId="178" fillId="28" borderId="0" xfId="8" applyFont="1" applyFill="1" applyAlignment="1">
      <alignment vertical="center"/>
    </xf>
    <xf numFmtId="0" fontId="12" fillId="28" borderId="7" xfId="8" applyFont="1" applyFill="1" applyBorder="1" applyAlignment="1">
      <alignment horizontal="right" vertical="center"/>
    </xf>
    <xf numFmtId="0" fontId="12" fillId="28" borderId="5" xfId="8" applyFont="1" applyFill="1" applyBorder="1" applyAlignment="1">
      <alignment horizontal="right" vertical="center"/>
    </xf>
    <xf numFmtId="0" fontId="12" fillId="28" borderId="0" xfId="8" applyFont="1" applyFill="1" applyAlignment="1">
      <alignment horizontal="right" vertical="center"/>
    </xf>
    <xf numFmtId="0" fontId="40" fillId="28" borderId="17" xfId="8" applyFont="1" applyFill="1" applyBorder="1" applyAlignment="1">
      <alignment horizontal="center" vertical="center" wrapText="1"/>
    </xf>
    <xf numFmtId="0" fontId="40" fillId="28" borderId="1" xfId="8" applyFont="1" applyFill="1" applyBorder="1" applyAlignment="1">
      <alignment horizontal="center" vertical="center" wrapText="1"/>
    </xf>
    <xf numFmtId="0" fontId="12" fillId="28" borderId="19" xfId="8" applyFont="1" applyFill="1" applyBorder="1" applyAlignment="1">
      <alignment horizontal="center" vertical="center"/>
    </xf>
    <xf numFmtId="1" fontId="87" fillId="0" borderId="93" xfId="23" applyNumberFormat="1" applyFont="1" applyBorder="1" applyAlignment="1">
      <alignment horizontal="center"/>
    </xf>
    <xf numFmtId="3" fontId="82" fillId="0" borderId="12" xfId="22" applyNumberFormat="1" applyFont="1" applyBorder="1" applyAlignment="1">
      <alignment horizontal="right" vertical="center" indent="3"/>
    </xf>
    <xf numFmtId="1" fontId="87" fillId="0" borderId="56" xfId="8" applyNumberFormat="1" applyFont="1" applyBorder="1" applyAlignment="1">
      <alignment horizontal="center" vertical="center"/>
    </xf>
    <xf numFmtId="1" fontId="87" fillId="0" borderId="56" xfId="23" applyNumberFormat="1" applyFont="1" applyBorder="1" applyAlignment="1">
      <alignment horizontal="center"/>
    </xf>
    <xf numFmtId="3" fontId="82" fillId="0" borderId="33" xfId="22" applyNumberFormat="1" applyFont="1" applyBorder="1" applyAlignment="1">
      <alignment horizontal="right" vertical="center" indent="3"/>
    </xf>
    <xf numFmtId="1" fontId="82" fillId="0" borderId="41" xfId="22" applyNumberFormat="1" applyFont="1" applyBorder="1" applyAlignment="1">
      <alignment horizontal="right" vertical="center" indent="3"/>
    </xf>
    <xf numFmtId="1" fontId="87" fillId="0" borderId="41" xfId="23" applyNumberFormat="1" applyFont="1" applyBorder="1" applyAlignment="1">
      <alignment horizontal="center"/>
    </xf>
    <xf numFmtId="1" fontId="32" fillId="0" borderId="45" xfId="22" applyNumberFormat="1" applyFont="1" applyBorder="1" applyAlignment="1">
      <alignment horizontal="right" vertical="center" indent="3"/>
    </xf>
    <xf numFmtId="1" fontId="87" fillId="0" borderId="27" xfId="8" applyNumberFormat="1" applyFont="1" applyBorder="1" applyAlignment="1">
      <alignment horizontal="center" vertical="center"/>
    </xf>
    <xf numFmtId="1" fontId="87" fillId="0" borderId="53" xfId="8" applyNumberFormat="1" applyFont="1" applyBorder="1" applyAlignment="1">
      <alignment horizontal="center" vertical="center"/>
    </xf>
    <xf numFmtId="1" fontId="82" fillId="0" borderId="43" xfId="22" applyNumberFormat="1" applyFont="1" applyBorder="1" applyAlignment="1">
      <alignment horizontal="right" vertical="center" indent="3"/>
    </xf>
    <xf numFmtId="0" fontId="12" fillId="0" borderId="12" xfId="22" applyFont="1" applyBorder="1" applyAlignment="1">
      <alignment horizontal="center" vertical="center"/>
    </xf>
    <xf numFmtId="0" fontId="12" fillId="2" borderId="12" xfId="8" applyFont="1" applyFill="1" applyBorder="1" applyAlignment="1">
      <alignment horizontal="center" vertical="center"/>
    </xf>
    <xf numFmtId="0" fontId="12" fillId="0" borderId="76" xfId="22" applyFont="1" applyBorder="1" applyAlignment="1">
      <alignment horizontal="center" vertical="center"/>
    </xf>
    <xf numFmtId="1" fontId="87" fillId="0" borderId="72" xfId="8" applyNumberFormat="1" applyFont="1" applyBorder="1" applyAlignment="1">
      <alignment horizontal="center" vertical="center"/>
    </xf>
    <xf numFmtId="1" fontId="87" fillId="0" borderId="50" xfId="8" applyNumberFormat="1" applyFont="1" applyBorder="1" applyAlignment="1">
      <alignment horizontal="center" vertical="center"/>
    </xf>
    <xf numFmtId="1" fontId="87" fillId="0" borderId="50" xfId="23" applyNumberFormat="1" applyFont="1" applyBorder="1" applyAlignment="1">
      <alignment horizontal="center"/>
    </xf>
    <xf numFmtId="3" fontId="82" fillId="0" borderId="76" xfId="22" applyNumberFormat="1" applyFont="1" applyBorder="1" applyAlignment="1">
      <alignment horizontal="right" vertical="center" indent="3"/>
    </xf>
    <xf numFmtId="0" fontId="82" fillId="0" borderId="90" xfId="22" applyFont="1" applyBorder="1" applyAlignment="1">
      <alignment horizontal="center" vertical="center"/>
    </xf>
    <xf numFmtId="0" fontId="82" fillId="0" borderId="32" xfId="22" applyFont="1" applyBorder="1" applyAlignment="1">
      <alignment horizontal="center" vertical="center"/>
    </xf>
    <xf numFmtId="0" fontId="9" fillId="0" borderId="0" xfId="8" applyFont="1" applyFill="1" applyAlignment="1">
      <alignment vertical="center"/>
    </xf>
    <xf numFmtId="0" fontId="24" fillId="4" borderId="92" xfId="8" applyFont="1" applyFill="1" applyBorder="1" applyAlignment="1">
      <alignment horizontal="center" vertical="center" textRotation="90" wrapText="1"/>
    </xf>
    <xf numFmtId="0" fontId="24" fillId="4" borderId="92" xfId="8" applyFont="1" applyFill="1" applyBorder="1" applyAlignment="1">
      <alignment horizontal="center" vertical="center"/>
    </xf>
    <xf numFmtId="0" fontId="24" fillId="4" borderId="92" xfId="8" applyFont="1" applyFill="1" applyBorder="1" applyAlignment="1">
      <alignment horizontal="center" vertical="center" wrapText="1"/>
    </xf>
    <xf numFmtId="0" fontId="82" fillId="0" borderId="92" xfId="8" applyFont="1" applyFill="1" applyBorder="1" applyAlignment="1">
      <alignment horizontal="center" vertical="center" wrapText="1"/>
    </xf>
    <xf numFmtId="0" fontId="87" fillId="0" borderId="92" xfId="8" applyFont="1" applyFill="1" applyBorder="1" applyAlignment="1">
      <alignment horizontal="center" vertical="center" wrapText="1" readingOrder="2"/>
    </xf>
    <xf numFmtId="9" fontId="87" fillId="0" borderId="92" xfId="8" applyNumberFormat="1" applyFont="1" applyFill="1" applyBorder="1" applyAlignment="1">
      <alignment horizontal="center" vertical="center" wrapText="1"/>
    </xf>
    <xf numFmtId="0" fontId="21" fillId="4" borderId="92" xfId="8" applyFont="1" applyFill="1" applyBorder="1" applyAlignment="1">
      <alignment vertical="center"/>
    </xf>
    <xf numFmtId="0" fontId="21" fillId="4" borderId="92" xfId="8" applyFont="1" applyFill="1" applyBorder="1" applyAlignment="1">
      <alignment horizontal="center" vertical="center"/>
    </xf>
    <xf numFmtId="0" fontId="21" fillId="4" borderId="92" xfId="8" applyFont="1" applyFill="1" applyBorder="1" applyAlignment="1">
      <alignment horizontal="center" vertical="center" wrapText="1"/>
    </xf>
    <xf numFmtId="0" fontId="82" fillId="0" borderId="0" xfId="8" applyFont="1" applyFill="1" applyAlignment="1">
      <alignment vertical="center"/>
    </xf>
    <xf numFmtId="0" fontId="204" fillId="30" borderId="31" xfId="0" applyFont="1" applyFill="1" applyBorder="1" applyAlignment="1">
      <alignment horizontal="center" vertical="center"/>
    </xf>
    <xf numFmtId="0" fontId="9" fillId="0" borderId="0" xfId="8" applyFont="1" applyFill="1" applyBorder="1" applyAlignment="1">
      <alignment vertical="center"/>
    </xf>
    <xf numFmtId="0" fontId="205" fillId="5" borderId="37" xfId="0" applyFont="1" applyFill="1" applyBorder="1" applyAlignment="1">
      <alignment horizontal="center" vertical="center"/>
    </xf>
    <xf numFmtId="0" fontId="206" fillId="2" borderId="49" xfId="0" applyFont="1" applyFill="1" applyBorder="1" applyAlignment="1">
      <alignment horizontal="center" vertical="center"/>
    </xf>
    <xf numFmtId="0" fontId="205" fillId="5" borderId="24" xfId="0" applyFont="1" applyFill="1" applyBorder="1" applyAlignment="1">
      <alignment horizontal="center" vertical="center"/>
    </xf>
    <xf numFmtId="0" fontId="206" fillId="2" borderId="92" xfId="0" applyFont="1" applyFill="1" applyBorder="1" applyAlignment="1">
      <alignment horizontal="center" vertical="center"/>
    </xf>
    <xf numFmtId="0" fontId="206" fillId="2" borderId="0" xfId="4" applyFont="1" applyFill="1" applyBorder="1" applyAlignment="1">
      <alignment horizontal="center" vertical="center"/>
    </xf>
    <xf numFmtId="0" fontId="205" fillId="5" borderId="39" xfId="0" applyFont="1" applyFill="1" applyBorder="1" applyAlignment="1">
      <alignment horizontal="center" vertical="center"/>
    </xf>
    <xf numFmtId="0" fontId="206" fillId="2" borderId="28" xfId="0" applyFont="1" applyFill="1" applyBorder="1" applyAlignment="1">
      <alignment horizontal="center" vertical="center"/>
    </xf>
    <xf numFmtId="0" fontId="205" fillId="0" borderId="136" xfId="0" applyFont="1" applyFill="1" applyBorder="1" applyAlignment="1">
      <alignment horizontal="center" vertical="center"/>
    </xf>
    <xf numFmtId="0" fontId="206" fillId="0" borderId="114" xfId="0" applyFont="1" applyFill="1" applyBorder="1" applyAlignment="1">
      <alignment horizontal="center" vertical="center"/>
    </xf>
    <xf numFmtId="0" fontId="206" fillId="0" borderId="0" xfId="4" applyFont="1" applyFill="1" applyBorder="1" applyAlignment="1">
      <alignment horizontal="center" vertical="center"/>
    </xf>
    <xf numFmtId="0" fontId="204" fillId="30" borderId="249" xfId="205" applyFont="1" applyFill="1" applyBorder="1" applyAlignment="1">
      <alignment horizontal="center" vertical="center"/>
    </xf>
    <xf numFmtId="0" fontId="204" fillId="30" borderId="250" xfId="205" applyFont="1" applyFill="1" applyBorder="1" applyAlignment="1">
      <alignment horizontal="center" vertical="center"/>
    </xf>
    <xf numFmtId="0" fontId="204" fillId="30" borderId="251" xfId="205" applyFont="1" applyFill="1" applyBorder="1" applyAlignment="1">
      <alignment horizontal="center" vertical="center"/>
    </xf>
    <xf numFmtId="0" fontId="205" fillId="0" borderId="21" xfId="205" applyFont="1" applyFill="1" applyBorder="1" applyAlignment="1">
      <alignment horizontal="center" vertical="center"/>
    </xf>
    <xf numFmtId="0" fontId="206" fillId="0" borderId="22" xfId="205" applyFont="1" applyFill="1" applyBorder="1" applyAlignment="1">
      <alignment horizontal="center" vertical="center"/>
    </xf>
    <xf numFmtId="165" fontId="206" fillId="0" borderId="22" xfId="205" applyNumberFormat="1" applyFont="1" applyFill="1" applyBorder="1" applyAlignment="1">
      <alignment horizontal="center" vertical="center"/>
    </xf>
    <xf numFmtId="165" fontId="206" fillId="0" borderId="49" xfId="205" applyNumberFormat="1" applyFont="1" applyFill="1" applyBorder="1" applyAlignment="1">
      <alignment horizontal="center" vertical="center"/>
    </xf>
    <xf numFmtId="0" fontId="205" fillId="0" borderId="24" xfId="205" applyFont="1" applyFill="1" applyBorder="1" applyAlignment="1">
      <alignment horizontal="center" vertical="center"/>
    </xf>
    <xf numFmtId="0" fontId="206" fillId="0" borderId="92" xfId="205" applyFont="1" applyFill="1" applyBorder="1" applyAlignment="1">
      <alignment horizontal="center" vertical="center"/>
    </xf>
    <xf numFmtId="165" fontId="206" fillId="0" borderId="92" xfId="205" applyNumberFormat="1" applyFont="1" applyFill="1" applyBorder="1" applyAlignment="1">
      <alignment horizontal="center" vertical="center"/>
    </xf>
    <xf numFmtId="0" fontId="205" fillId="2" borderId="24" xfId="205" applyFont="1" applyFill="1" applyBorder="1" applyAlignment="1">
      <alignment horizontal="center" vertical="center"/>
    </xf>
    <xf numFmtId="0" fontId="205" fillId="0" borderId="35" xfId="205" applyFont="1" applyFill="1" applyBorder="1" applyAlignment="1">
      <alignment horizontal="center" vertical="center"/>
    </xf>
    <xf numFmtId="165" fontId="206" fillId="0" borderId="48" xfId="205" applyNumberFormat="1" applyFont="1" applyFill="1" applyBorder="1" applyAlignment="1">
      <alignment horizontal="center" vertical="center"/>
    </xf>
    <xf numFmtId="1" fontId="32" fillId="2" borderId="21" xfId="8" applyNumberFormat="1" applyFont="1" applyFill="1" applyBorder="1" applyAlignment="1">
      <alignment horizontal="center" vertical="center" readingOrder="2"/>
    </xf>
    <xf numFmtId="1" fontId="32" fillId="2" borderId="23" xfId="8" applyNumberFormat="1" applyFont="1" applyFill="1" applyBorder="1" applyAlignment="1">
      <alignment horizontal="center" vertical="center" readingOrder="2"/>
    </xf>
    <xf numFmtId="1" fontId="32" fillId="2" borderId="66" xfId="8" applyNumberFormat="1" applyFont="1" applyFill="1" applyBorder="1" applyAlignment="1">
      <alignment horizontal="center" vertical="center" readingOrder="2"/>
    </xf>
    <xf numFmtId="1" fontId="32" fillId="2" borderId="66" xfId="8" applyNumberFormat="1" applyFont="1" applyFill="1" applyBorder="1" applyAlignment="1">
      <alignment horizontal="right" vertical="center" indent="2" readingOrder="2"/>
    </xf>
    <xf numFmtId="1" fontId="32" fillId="2" borderId="37" xfId="8" applyNumberFormat="1" applyFont="1" applyFill="1" applyBorder="1" applyAlignment="1">
      <alignment horizontal="center" vertical="center" readingOrder="2"/>
    </xf>
    <xf numFmtId="1" fontId="32" fillId="2" borderId="38" xfId="8" applyNumberFormat="1" applyFont="1" applyFill="1" applyBorder="1" applyAlignment="1">
      <alignment horizontal="center" vertical="center" readingOrder="2"/>
    </xf>
    <xf numFmtId="0" fontId="24" fillId="2" borderId="12" xfId="138" applyFont="1" applyFill="1" applyBorder="1" applyAlignment="1">
      <alignment horizontal="center" vertical="center"/>
    </xf>
    <xf numFmtId="0" fontId="24" fillId="2" borderId="92" xfId="138" applyFont="1" applyFill="1" applyBorder="1" applyAlignment="1">
      <alignment horizontal="center" vertical="center"/>
    </xf>
    <xf numFmtId="1" fontId="32" fillId="2" borderId="64" xfId="8" applyNumberFormat="1" applyFont="1" applyFill="1" applyBorder="1" applyAlignment="1">
      <alignment horizontal="center" vertical="center" readingOrder="2"/>
    </xf>
    <xf numFmtId="1" fontId="32" fillId="2" borderId="57" xfId="8" applyNumberFormat="1" applyFont="1" applyFill="1" applyBorder="1" applyAlignment="1">
      <alignment horizontal="center" vertical="center" readingOrder="2"/>
    </xf>
    <xf numFmtId="0" fontId="12" fillId="20" borderId="42" xfId="8" applyFont="1" applyFill="1" applyBorder="1" applyAlignment="1">
      <alignment horizontal="center" vertical="center"/>
    </xf>
    <xf numFmtId="1" fontId="32" fillId="20" borderId="45" xfId="8" applyNumberFormat="1" applyFont="1" applyFill="1" applyBorder="1" applyAlignment="1">
      <alignment horizontal="right" vertical="center" indent="2" readingOrder="2"/>
    </xf>
    <xf numFmtId="1" fontId="32" fillId="20" borderId="68" xfId="8" applyNumberFormat="1" applyFont="1" applyFill="1" applyBorder="1" applyAlignment="1">
      <alignment horizontal="right" vertical="center" indent="2" readingOrder="2"/>
    </xf>
    <xf numFmtId="1" fontId="32" fillId="20" borderId="48" xfId="8" applyNumberFormat="1" applyFont="1" applyFill="1" applyBorder="1" applyAlignment="1">
      <alignment horizontal="right" vertical="center" indent="2" readingOrder="2"/>
    </xf>
    <xf numFmtId="1" fontId="32" fillId="20" borderId="41" xfId="8" applyNumberFormat="1" applyFont="1" applyFill="1" applyBorder="1" applyAlignment="1">
      <alignment horizontal="right" vertical="center" indent="2" readingOrder="2"/>
    </xf>
    <xf numFmtId="1" fontId="32" fillId="20" borderId="44" xfId="8" applyNumberFormat="1" applyFont="1" applyFill="1" applyBorder="1" applyAlignment="1">
      <alignment horizontal="right" vertical="center" indent="2" readingOrder="2"/>
    </xf>
    <xf numFmtId="0" fontId="12" fillId="28" borderId="65" xfId="8" applyFont="1" applyFill="1" applyBorder="1" applyAlignment="1">
      <alignment horizontal="center" vertical="center"/>
    </xf>
    <xf numFmtId="0" fontId="12" fillId="28" borderId="11" xfId="8" applyFont="1" applyFill="1" applyBorder="1" applyAlignment="1">
      <alignment horizontal="center" vertical="center"/>
    </xf>
    <xf numFmtId="0" fontId="12" fillId="28" borderId="52" xfId="8" applyFont="1" applyFill="1" applyBorder="1" applyAlignment="1">
      <alignment horizontal="center" vertical="center"/>
    </xf>
    <xf numFmtId="0" fontId="21" fillId="2" borderId="45" xfId="8" applyFont="1" applyFill="1" applyBorder="1" applyAlignment="1">
      <alignment horizontal="center" vertical="center"/>
    </xf>
    <xf numFmtId="0" fontId="12" fillId="20" borderId="45" xfId="8" applyFont="1" applyFill="1" applyBorder="1" applyAlignment="1">
      <alignment horizontal="center" vertical="center" wrapText="1"/>
    </xf>
    <xf numFmtId="0" fontId="12" fillId="20" borderId="45" xfId="8" applyFont="1" applyFill="1" applyBorder="1" applyAlignment="1">
      <alignment horizontal="center" vertical="center"/>
    </xf>
    <xf numFmtId="0" fontId="21" fillId="20" borderId="45" xfId="8" applyFont="1" applyFill="1" applyBorder="1" applyAlignment="1">
      <alignment horizontal="center" vertical="center"/>
    </xf>
    <xf numFmtId="0" fontId="12" fillId="28" borderId="45" xfId="8" applyFont="1" applyFill="1" applyBorder="1" applyAlignment="1">
      <alignment horizontal="center" vertical="center"/>
    </xf>
    <xf numFmtId="0" fontId="13" fillId="28" borderId="45" xfId="8" applyFont="1" applyFill="1" applyBorder="1" applyAlignment="1">
      <alignment horizontal="center" vertical="center"/>
    </xf>
    <xf numFmtId="0" fontId="12" fillId="28" borderId="45" xfId="8" applyFont="1" applyFill="1" applyBorder="1" applyAlignment="1">
      <alignment horizontal="center" vertical="center" readingOrder="1"/>
    </xf>
    <xf numFmtId="0" fontId="18" fillId="2" borderId="148" xfId="23" applyFont="1" applyFill="1" applyBorder="1" applyAlignment="1">
      <alignment horizontal="center" vertical="center"/>
    </xf>
    <xf numFmtId="0" fontId="18" fillId="2" borderId="186" xfId="23" applyFont="1" applyFill="1" applyBorder="1" applyAlignment="1">
      <alignment horizontal="center" vertical="center"/>
    </xf>
    <xf numFmtId="0" fontId="18" fillId="2" borderId="187" xfId="23" applyFont="1" applyFill="1" applyBorder="1" applyAlignment="1">
      <alignment horizontal="center" vertical="center"/>
    </xf>
    <xf numFmtId="0" fontId="180" fillId="2" borderId="188" xfId="139" applyFont="1" applyFill="1" applyBorder="1" applyAlignment="1">
      <alignment horizontal="center" vertical="center"/>
    </xf>
    <xf numFmtId="0" fontId="18" fillId="2" borderId="145" xfId="139" applyFont="1" applyFill="1" applyBorder="1" applyAlignment="1">
      <alignment horizontal="center" vertical="center"/>
    </xf>
    <xf numFmtId="0" fontId="18" fillId="2" borderId="154" xfId="139" applyFont="1" applyFill="1" applyBorder="1" applyAlignment="1">
      <alignment horizontal="center" vertical="center"/>
    </xf>
    <xf numFmtId="0" fontId="18" fillId="2" borderId="157" xfId="139" applyFont="1" applyFill="1" applyBorder="1" applyAlignment="1">
      <alignment horizontal="center" vertical="center"/>
    </xf>
    <xf numFmtId="0" fontId="18" fillId="2" borderId="145" xfId="23" applyFont="1" applyFill="1" applyBorder="1" applyAlignment="1">
      <alignment horizontal="center" vertical="center"/>
    </xf>
    <xf numFmtId="0" fontId="18" fillId="2" borderId="154" xfId="23" applyFont="1" applyFill="1" applyBorder="1" applyAlignment="1">
      <alignment horizontal="center" vertical="center"/>
    </xf>
    <xf numFmtId="0" fontId="18" fillId="2" borderId="157" xfId="23" applyFont="1" applyFill="1" applyBorder="1" applyAlignment="1">
      <alignment horizontal="center" vertical="center"/>
    </xf>
    <xf numFmtId="0" fontId="18" fillId="2" borderId="151" xfId="23" applyFont="1" applyFill="1" applyBorder="1" applyAlignment="1">
      <alignment horizontal="center" vertical="center"/>
    </xf>
    <xf numFmtId="0" fontId="18" fillId="2" borderId="190" xfId="23" applyFont="1" applyFill="1" applyBorder="1" applyAlignment="1">
      <alignment horizontal="center" vertical="center"/>
    </xf>
    <xf numFmtId="0" fontId="18" fillId="2" borderId="184" xfId="23" applyFont="1" applyFill="1" applyBorder="1" applyAlignment="1">
      <alignment horizontal="center" vertical="center"/>
    </xf>
    <xf numFmtId="0" fontId="18" fillId="2" borderId="167" xfId="139" applyFont="1" applyFill="1" applyBorder="1" applyAlignment="1">
      <alignment horizontal="center" vertical="center"/>
    </xf>
    <xf numFmtId="0" fontId="18" fillId="2" borderId="191" xfId="139" applyFont="1" applyFill="1" applyBorder="1" applyAlignment="1">
      <alignment horizontal="center" vertical="center"/>
    </xf>
    <xf numFmtId="0" fontId="18" fillId="2" borderId="192" xfId="139" applyFont="1" applyFill="1" applyBorder="1" applyAlignment="1">
      <alignment horizontal="center" vertical="center"/>
    </xf>
    <xf numFmtId="0" fontId="18" fillId="2" borderId="167" xfId="23" applyFont="1" applyFill="1" applyBorder="1" applyAlignment="1">
      <alignment horizontal="center" vertical="center"/>
    </xf>
    <xf numFmtId="0" fontId="18" fillId="2" borderId="191" xfId="23" applyFont="1" applyFill="1" applyBorder="1" applyAlignment="1">
      <alignment horizontal="center" vertical="center"/>
    </xf>
    <xf numFmtId="0" fontId="18" fillId="2" borderId="176" xfId="139" applyFont="1" applyFill="1" applyBorder="1" applyAlignment="1">
      <alignment horizontal="center" vertical="center"/>
    </xf>
    <xf numFmtId="0" fontId="18" fillId="2" borderId="195" xfId="139" applyFont="1" applyFill="1" applyBorder="1" applyAlignment="1">
      <alignment horizontal="center" vertical="center"/>
    </xf>
    <xf numFmtId="0" fontId="18" fillId="2" borderId="196" xfId="139" applyFont="1" applyFill="1" applyBorder="1" applyAlignment="1">
      <alignment horizontal="center" vertical="center"/>
    </xf>
    <xf numFmtId="0" fontId="180" fillId="2" borderId="194" xfId="139" applyFont="1" applyFill="1" applyBorder="1" applyAlignment="1">
      <alignment horizontal="center" vertical="center"/>
    </xf>
    <xf numFmtId="0" fontId="11" fillId="20" borderId="45" xfId="139" applyFont="1" applyFill="1" applyBorder="1" applyAlignment="1">
      <alignment horizontal="center" vertical="center" wrapText="1"/>
    </xf>
    <xf numFmtId="0" fontId="11" fillId="20" borderId="43" xfId="139" applyFont="1" applyFill="1" applyBorder="1" applyAlignment="1">
      <alignment horizontal="center" vertical="center" wrapText="1"/>
    </xf>
    <xf numFmtId="0" fontId="180" fillId="20" borderId="45" xfId="139" applyFont="1" applyFill="1" applyBorder="1" applyAlignment="1">
      <alignment horizontal="center" vertical="center"/>
    </xf>
    <xf numFmtId="0" fontId="180" fillId="20" borderId="1" xfId="139" applyFont="1" applyFill="1" applyBorder="1" applyAlignment="1">
      <alignment horizontal="center" vertical="center"/>
    </xf>
    <xf numFmtId="0" fontId="180" fillId="20" borderId="197" xfId="139" applyFont="1" applyFill="1" applyBorder="1" applyAlignment="1">
      <alignment horizontal="center" vertical="center"/>
    </xf>
    <xf numFmtId="0" fontId="180" fillId="20" borderId="198" xfId="139" applyFont="1" applyFill="1" applyBorder="1" applyAlignment="1">
      <alignment horizontal="center" vertical="center"/>
    </xf>
    <xf numFmtId="0" fontId="180" fillId="20" borderId="18" xfId="139" applyFont="1" applyFill="1" applyBorder="1" applyAlignment="1">
      <alignment horizontal="center" vertical="center"/>
    </xf>
    <xf numFmtId="0" fontId="24" fillId="28" borderId="185" xfId="139" applyFont="1" applyFill="1" applyBorder="1" applyAlignment="1">
      <alignment horizontal="center" vertical="center"/>
    </xf>
    <xf numFmtId="0" fontId="24" fillId="28" borderId="189" xfId="139" applyFont="1" applyFill="1" applyBorder="1" applyAlignment="1">
      <alignment horizontal="center" vertical="center"/>
    </xf>
    <xf numFmtId="0" fontId="24" fillId="28" borderId="189" xfId="139" applyFont="1" applyFill="1" applyBorder="1" applyAlignment="1">
      <alignment horizontal="center" vertical="center" shrinkToFit="1"/>
    </xf>
    <xf numFmtId="0" fontId="24" fillId="28" borderId="193" xfId="139" applyFont="1" applyFill="1" applyBorder="1" applyAlignment="1">
      <alignment horizontal="center" vertical="center" shrinkToFit="1"/>
    </xf>
    <xf numFmtId="0" fontId="24" fillId="28" borderId="194" xfId="139" applyFont="1" applyFill="1" applyBorder="1" applyAlignment="1">
      <alignment horizontal="center" vertical="center"/>
    </xf>
    <xf numFmtId="0" fontId="18" fillId="20" borderId="24" xfId="138" applyFont="1" applyFill="1" applyBorder="1" applyAlignment="1">
      <alignment horizontal="center" vertical="center"/>
    </xf>
    <xf numFmtId="0" fontId="18" fillId="20" borderId="92" xfId="138" applyFont="1" applyFill="1" applyBorder="1" applyAlignment="1">
      <alignment horizontal="center" vertical="center"/>
    </xf>
    <xf numFmtId="0" fontId="18" fillId="20" borderId="92" xfId="138" applyFont="1" applyFill="1" applyBorder="1" applyAlignment="1">
      <alignment horizontal="center" vertical="center" wrapText="1"/>
    </xf>
    <xf numFmtId="0" fontId="18" fillId="20" borderId="26" xfId="138" applyFont="1" applyFill="1" applyBorder="1" applyAlignment="1">
      <alignment horizontal="center" vertical="center"/>
    </xf>
    <xf numFmtId="0" fontId="35" fillId="28" borderId="24" xfId="138" applyFont="1" applyFill="1" applyBorder="1" applyAlignment="1">
      <alignment horizontal="center" vertical="center"/>
    </xf>
    <xf numFmtId="0" fontId="35" fillId="28" borderId="37" xfId="138" applyFont="1" applyFill="1" applyBorder="1" applyAlignment="1">
      <alignment horizontal="center" vertical="center"/>
    </xf>
    <xf numFmtId="0" fontId="35" fillId="28" borderId="30" xfId="138" applyFont="1" applyFill="1" applyBorder="1" applyAlignment="1">
      <alignment horizontal="center" vertical="center"/>
    </xf>
    <xf numFmtId="0" fontId="49" fillId="2" borderId="92" xfId="135" applyFont="1" applyFill="1" applyBorder="1" applyAlignment="1">
      <alignment horizontal="center"/>
    </xf>
    <xf numFmtId="0" fontId="49" fillId="2" borderId="92" xfId="135" applyFont="1" applyFill="1" applyBorder="1" applyAlignment="1">
      <alignment horizontal="center" vertical="center"/>
    </xf>
    <xf numFmtId="0" fontId="49" fillId="2" borderId="26" xfId="135" applyFont="1" applyFill="1" applyBorder="1" applyAlignment="1">
      <alignment horizontal="center" vertical="center" readingOrder="2"/>
    </xf>
    <xf numFmtId="0" fontId="49" fillId="2" borderId="26" xfId="135" applyFont="1" applyFill="1" applyBorder="1" applyAlignment="1">
      <alignment horizontal="center" vertical="center"/>
    </xf>
    <xf numFmtId="188" fontId="49" fillId="2" borderId="92" xfId="135" applyNumberFormat="1" applyFont="1" applyFill="1" applyBorder="1" applyAlignment="1">
      <alignment horizontal="center" vertical="center"/>
    </xf>
    <xf numFmtId="0" fontId="49" fillId="2" borderId="26" xfId="135" applyFont="1" applyFill="1" applyBorder="1" applyAlignment="1">
      <alignment horizontal="center" vertical="center" readingOrder="1"/>
    </xf>
    <xf numFmtId="188" fontId="49" fillId="2" borderId="92" xfId="135" applyNumberFormat="1" applyFont="1" applyFill="1" applyBorder="1" applyAlignment="1">
      <alignment horizontal="center" vertical="center" readingOrder="2"/>
    </xf>
    <xf numFmtId="3" fontId="49" fillId="2" borderId="92" xfId="135" applyNumberFormat="1" applyFont="1" applyFill="1" applyBorder="1" applyAlignment="1">
      <alignment horizontal="center" vertical="center"/>
    </xf>
    <xf numFmtId="0" fontId="9" fillId="2" borderId="92" xfId="135" applyFont="1" applyFill="1" applyBorder="1" applyAlignment="1">
      <alignment horizontal="center" vertical="center"/>
    </xf>
    <xf numFmtId="0" fontId="9" fillId="2" borderId="31" xfId="135" applyFont="1" applyFill="1" applyBorder="1" applyAlignment="1">
      <alignment horizontal="center" vertical="center"/>
    </xf>
    <xf numFmtId="0" fontId="49" fillId="2" borderId="32" xfId="135" applyFont="1" applyFill="1" applyBorder="1" applyAlignment="1">
      <alignment horizontal="center" vertical="center"/>
    </xf>
    <xf numFmtId="0" fontId="49" fillId="2" borderId="92" xfId="135" applyFont="1" applyFill="1" applyBorder="1" applyAlignment="1">
      <alignment horizontal="center" wrapText="1"/>
    </xf>
    <xf numFmtId="0" fontId="49" fillId="2" borderId="92" xfId="135" applyFont="1" applyFill="1" applyBorder="1" applyAlignment="1">
      <alignment horizontal="center" vertical="justify" wrapText="1"/>
    </xf>
    <xf numFmtId="165" fontId="24" fillId="20" borderId="144" xfId="134" applyNumberFormat="1" applyFont="1" applyFill="1" applyBorder="1" applyAlignment="1">
      <alignment horizontal="center" vertical="center"/>
    </xf>
    <xf numFmtId="165" fontId="24" fillId="20" borderId="141" xfId="134" applyNumberFormat="1" applyFont="1" applyFill="1" applyBorder="1" applyAlignment="1">
      <alignment horizontal="center" vertical="center"/>
    </xf>
    <xf numFmtId="165" fontId="24" fillId="20" borderId="142" xfId="134" applyNumberFormat="1" applyFont="1" applyFill="1" applyBorder="1" applyAlignment="1">
      <alignment horizontal="center" vertical="center"/>
    </xf>
    <xf numFmtId="0" fontId="137" fillId="20" borderId="211" xfId="134" applyFont="1" applyFill="1" applyBorder="1" applyAlignment="1">
      <alignment horizontal="center" vertical="center"/>
    </xf>
    <xf numFmtId="1" fontId="180" fillId="20" borderId="212" xfId="134" applyNumberFormat="1" applyFont="1" applyFill="1" applyBorder="1" applyAlignment="1">
      <alignment horizontal="center" vertical="center"/>
    </xf>
    <xf numFmtId="0" fontId="180" fillId="20" borderId="114" xfId="134" applyFont="1" applyFill="1" applyBorder="1" applyAlignment="1">
      <alignment horizontal="center" vertical="center"/>
    </xf>
    <xf numFmtId="1" fontId="180" fillId="20" borderId="114" xfId="134" applyNumberFormat="1" applyFont="1" applyFill="1" applyBorder="1" applyAlignment="1">
      <alignment horizontal="center" vertical="center"/>
    </xf>
    <xf numFmtId="0" fontId="180" fillId="20" borderId="140" xfId="134" applyFont="1" applyFill="1" applyBorder="1" applyAlignment="1">
      <alignment horizontal="center" vertical="center"/>
    </xf>
    <xf numFmtId="0" fontId="180" fillId="20" borderId="212" xfId="134" applyFont="1" applyFill="1" applyBorder="1" applyAlignment="1">
      <alignment horizontal="center" vertical="center"/>
    </xf>
    <xf numFmtId="1" fontId="180" fillId="20" borderId="35" xfId="134" applyNumberFormat="1" applyFont="1" applyFill="1" applyBorder="1" applyAlignment="1">
      <alignment horizontal="center" vertical="center"/>
    </xf>
    <xf numFmtId="0" fontId="180" fillId="20" borderId="36" xfId="134" applyFont="1" applyFill="1" applyBorder="1" applyAlignment="1">
      <alignment horizontal="center" vertical="center"/>
    </xf>
    <xf numFmtId="0" fontId="24" fillId="28" borderId="205" xfId="134" applyFont="1" applyFill="1" applyBorder="1" applyAlignment="1">
      <alignment horizontal="center" vertical="center"/>
    </xf>
    <xf numFmtId="0" fontId="24" fillId="28" borderId="206" xfId="134" applyFont="1" applyFill="1" applyBorder="1" applyAlignment="1">
      <alignment horizontal="center" vertical="center"/>
    </xf>
    <xf numFmtId="0" fontId="24" fillId="28" borderId="207" xfId="134" applyFont="1" applyFill="1" applyBorder="1" applyAlignment="1">
      <alignment horizontal="center" vertical="center"/>
    </xf>
    <xf numFmtId="0" fontId="24" fillId="28" borderId="208" xfId="134" applyFont="1" applyFill="1" applyBorder="1" applyAlignment="1">
      <alignment horizontal="center" vertical="center"/>
    </xf>
    <xf numFmtId="0" fontId="24" fillId="28" borderId="210" xfId="134" applyFont="1" applyFill="1" applyBorder="1" applyAlignment="1">
      <alignment horizontal="center" vertical="center"/>
    </xf>
    <xf numFmtId="0" fontId="13" fillId="28" borderId="37" xfId="23" applyFont="1" applyFill="1" applyBorder="1" applyAlignment="1">
      <alignment horizontal="center" vertical="center" wrapText="1" readingOrder="2"/>
    </xf>
    <xf numFmtId="0" fontId="142" fillId="28" borderId="38" xfId="23" applyFont="1" applyFill="1" applyBorder="1" applyAlignment="1">
      <alignment horizontal="center" vertical="center" wrapText="1" readingOrder="2"/>
    </xf>
    <xf numFmtId="0" fontId="13" fillId="28" borderId="24" xfId="23" applyFont="1" applyFill="1" applyBorder="1" applyAlignment="1">
      <alignment horizontal="center" vertical="center" wrapText="1" readingOrder="2"/>
    </xf>
    <xf numFmtId="0" fontId="142" fillId="28" borderId="26" xfId="23" applyFont="1" applyFill="1" applyBorder="1" applyAlignment="1">
      <alignment horizontal="center" vertical="center" wrapText="1" readingOrder="2"/>
    </xf>
    <xf numFmtId="0" fontId="13" fillId="28" borderId="30" xfId="23" applyFont="1" applyFill="1" applyBorder="1" applyAlignment="1">
      <alignment horizontal="center" vertical="center" wrapText="1" readingOrder="2"/>
    </xf>
    <xf numFmtId="0" fontId="142" fillId="28" borderId="32" xfId="23" applyFont="1" applyFill="1" applyBorder="1" applyAlignment="1">
      <alignment horizontal="center" vertical="center" wrapText="1" readingOrder="2"/>
    </xf>
    <xf numFmtId="0" fontId="140" fillId="20" borderId="79" xfId="23" applyFont="1" applyFill="1" applyBorder="1" applyAlignment="1">
      <alignment horizontal="center" vertical="center" wrapText="1" readingOrder="2"/>
    </xf>
    <xf numFmtId="0" fontId="140" fillId="20" borderId="78" xfId="23" applyFont="1" applyFill="1" applyBorder="1" applyAlignment="1">
      <alignment horizontal="center" vertical="center" wrapText="1" readingOrder="2"/>
    </xf>
    <xf numFmtId="0" fontId="140" fillId="20" borderId="57" xfId="23" applyFont="1" applyFill="1" applyBorder="1" applyAlignment="1">
      <alignment horizontal="center" vertical="center" wrapText="1" readingOrder="2"/>
    </xf>
    <xf numFmtId="0" fontId="191" fillId="20" borderId="6" xfId="23" applyFont="1" applyFill="1" applyBorder="1" applyAlignment="1">
      <alignment horizontal="center" vertical="center" wrapText="1" readingOrder="2"/>
    </xf>
    <xf numFmtId="0" fontId="6" fillId="20" borderId="45" xfId="23" applyFill="1" applyBorder="1"/>
    <xf numFmtId="0" fontId="16" fillId="20" borderId="62" xfId="134" applyFont="1" applyFill="1" applyBorder="1" applyAlignment="1">
      <alignment horizontal="center" readingOrder="2"/>
    </xf>
    <xf numFmtId="0" fontId="16" fillId="20" borderId="61" xfId="134" applyFont="1" applyFill="1" applyBorder="1" applyAlignment="1">
      <alignment horizontal="center" readingOrder="2"/>
    </xf>
    <xf numFmtId="0" fontId="16" fillId="20" borderId="70" xfId="134" applyFont="1" applyFill="1" applyBorder="1" applyAlignment="1">
      <alignment horizontal="center" readingOrder="2"/>
    </xf>
    <xf numFmtId="0" fontId="16" fillId="20" borderId="59" xfId="134" applyFont="1" applyFill="1" applyBorder="1" applyAlignment="1">
      <alignment horizontal="center" readingOrder="2"/>
    </xf>
    <xf numFmtId="0" fontId="16" fillId="20" borderId="58" xfId="134" applyFont="1" applyFill="1" applyBorder="1" applyAlignment="1">
      <alignment horizontal="center" readingOrder="2"/>
    </xf>
    <xf numFmtId="0" fontId="16" fillId="20" borderId="54" xfId="134" applyFont="1" applyFill="1" applyBorder="1" applyAlignment="1">
      <alignment horizontal="center" readingOrder="2"/>
    </xf>
    <xf numFmtId="0" fontId="18" fillId="28" borderId="215" xfId="134" applyFont="1" applyFill="1" applyBorder="1" applyAlignment="1">
      <alignment horizontal="center" vertical="center" readingOrder="2"/>
    </xf>
    <xf numFmtId="0" fontId="18" fillId="28" borderId="220" xfId="134" applyFont="1" applyFill="1" applyBorder="1" applyAlignment="1">
      <alignment horizontal="center" vertical="center" readingOrder="2"/>
    </xf>
    <xf numFmtId="0" fontId="18" fillId="28" borderId="230" xfId="134" applyFont="1" applyFill="1" applyBorder="1" applyAlignment="1">
      <alignment horizontal="center" vertical="center" readingOrder="2"/>
    </xf>
    <xf numFmtId="0" fontId="187" fillId="20" borderId="18" xfId="134" applyFont="1" applyFill="1" applyBorder="1" applyAlignment="1">
      <alignment horizontal="center" vertical="center" readingOrder="2"/>
    </xf>
    <xf numFmtId="0" fontId="187" fillId="20" borderId="36" xfId="134" applyFont="1" applyFill="1" applyBorder="1" applyAlignment="1">
      <alignment horizontal="center" vertical="center" readingOrder="2"/>
    </xf>
    <xf numFmtId="3" fontId="187" fillId="20" borderId="36" xfId="134" applyNumberFormat="1" applyFont="1" applyFill="1" applyBorder="1" applyAlignment="1">
      <alignment horizontal="center" vertical="center" readingOrder="2"/>
    </xf>
    <xf numFmtId="3" fontId="187" fillId="20" borderId="45" xfId="134" applyNumberFormat="1" applyFont="1" applyFill="1" applyBorder="1" applyAlignment="1">
      <alignment horizontal="center" vertical="center" readingOrder="2"/>
    </xf>
    <xf numFmtId="0" fontId="24" fillId="2" borderId="216" xfId="135" applyFont="1" applyFill="1" applyBorder="1" applyAlignment="1">
      <alignment horizontal="center" vertical="center" readingOrder="2"/>
    </xf>
    <xf numFmtId="0" fontId="24" fillId="2" borderId="217" xfId="135" applyFont="1" applyFill="1" applyBorder="1" applyAlignment="1">
      <alignment horizontal="center" vertical="center" readingOrder="2"/>
    </xf>
    <xf numFmtId="0" fontId="24" fillId="2" borderId="218" xfId="135" applyFont="1" applyFill="1" applyBorder="1" applyAlignment="1">
      <alignment horizontal="center" vertical="center" readingOrder="2"/>
    </xf>
    <xf numFmtId="3" fontId="24" fillId="2" borderId="219" xfId="135" applyNumberFormat="1" applyFont="1" applyFill="1" applyBorder="1" applyAlignment="1">
      <alignment horizontal="center" vertical="center" readingOrder="2"/>
    </xf>
    <xf numFmtId="3" fontId="24" fillId="2" borderId="215" xfId="135" applyNumberFormat="1" applyFont="1" applyFill="1" applyBorder="1" applyAlignment="1">
      <alignment horizontal="center" vertical="center" readingOrder="2"/>
    </xf>
    <xf numFmtId="0" fontId="24" fillId="2" borderId="221" xfId="135" applyFont="1" applyFill="1" applyBorder="1" applyAlignment="1">
      <alignment horizontal="center" vertical="center" readingOrder="2"/>
    </xf>
    <xf numFmtId="0" fontId="24" fillId="2" borderId="222" xfId="135" applyFont="1" applyFill="1" applyBorder="1" applyAlignment="1">
      <alignment horizontal="center" vertical="center" readingOrder="2"/>
    </xf>
    <xf numFmtId="0" fontId="24" fillId="2" borderId="223" xfId="135" applyFont="1" applyFill="1" applyBorder="1" applyAlignment="1">
      <alignment horizontal="center" vertical="center" readingOrder="2"/>
    </xf>
    <xf numFmtId="3" fontId="24" fillId="2" borderId="224" xfId="135" applyNumberFormat="1" applyFont="1" applyFill="1" applyBorder="1" applyAlignment="1">
      <alignment horizontal="center" vertical="center" readingOrder="2"/>
    </xf>
    <xf numFmtId="3" fontId="24" fillId="2" borderId="220" xfId="135" applyNumberFormat="1" applyFont="1" applyFill="1" applyBorder="1" applyAlignment="1">
      <alignment horizontal="center" vertical="center" readingOrder="2"/>
    </xf>
    <xf numFmtId="0" fontId="24" fillId="2" borderId="225" xfId="135" applyFont="1" applyFill="1" applyBorder="1" applyAlignment="1">
      <alignment horizontal="center" vertical="center" readingOrder="2"/>
    </xf>
    <xf numFmtId="0" fontId="24" fillId="2" borderId="226" xfId="135" applyFont="1" applyFill="1" applyBorder="1" applyAlignment="1">
      <alignment horizontal="center" vertical="center" readingOrder="2"/>
    </xf>
    <xf numFmtId="0" fontId="24" fillId="2" borderId="227" xfId="135" applyFont="1" applyFill="1" applyBorder="1" applyAlignment="1">
      <alignment horizontal="center" vertical="center" readingOrder="2"/>
    </xf>
    <xf numFmtId="3" fontId="24" fillId="2" borderId="228" xfId="135" applyNumberFormat="1" applyFont="1" applyFill="1" applyBorder="1" applyAlignment="1">
      <alignment horizontal="center" vertical="center" readingOrder="2"/>
    </xf>
    <xf numFmtId="3" fontId="24" fillId="2" borderId="229" xfId="135" applyNumberFormat="1" applyFont="1" applyFill="1" applyBorder="1" applyAlignment="1">
      <alignment horizontal="center" vertical="center" readingOrder="2"/>
    </xf>
    <xf numFmtId="0" fontId="24" fillId="2" borderId="231" xfId="135" applyFont="1" applyFill="1" applyBorder="1" applyAlignment="1">
      <alignment horizontal="center" vertical="center" readingOrder="2"/>
    </xf>
    <xf numFmtId="0" fontId="24" fillId="2" borderId="232" xfId="135" applyFont="1" applyFill="1" applyBorder="1" applyAlignment="1">
      <alignment horizontal="center" vertical="center" readingOrder="2"/>
    </xf>
    <xf numFmtId="3" fontId="13" fillId="0" borderId="22" xfId="2" applyNumberFormat="1" applyFont="1" applyFill="1" applyBorder="1" applyAlignment="1">
      <alignment horizontal="center" vertical="center"/>
    </xf>
    <xf numFmtId="3" fontId="13" fillId="0" borderId="92" xfId="2" applyNumberFormat="1" applyFont="1" applyFill="1" applyBorder="1" applyAlignment="1">
      <alignment horizontal="center" vertical="center"/>
    </xf>
    <xf numFmtId="3" fontId="25" fillId="0" borderId="92" xfId="1" applyNumberFormat="1" applyFont="1" applyFill="1" applyBorder="1" applyAlignment="1">
      <alignment horizontal="right" vertical="center" indent="1"/>
    </xf>
    <xf numFmtId="3" fontId="25" fillId="2" borderId="92" xfId="1" applyNumberFormat="1" applyFont="1" applyFill="1" applyBorder="1" applyAlignment="1">
      <alignment horizontal="right" vertical="center" indent="1"/>
    </xf>
    <xf numFmtId="3" fontId="25" fillId="2" borderId="28" xfId="1" applyNumberFormat="1" applyFont="1" applyFill="1" applyBorder="1" applyAlignment="1">
      <alignment horizontal="right" vertical="center" indent="1"/>
    </xf>
    <xf numFmtId="0" fontId="12" fillId="20" borderId="3" xfId="1" applyFont="1" applyFill="1" applyBorder="1" applyAlignment="1">
      <alignment horizontal="center" vertical="center" wrapText="1"/>
    </xf>
    <xf numFmtId="0" fontId="12" fillId="20" borderId="3" xfId="1" applyFont="1" applyFill="1" applyBorder="1" applyAlignment="1">
      <alignment horizontal="center" vertical="center"/>
    </xf>
    <xf numFmtId="3" fontId="13" fillId="0" borderId="33" xfId="2" applyNumberFormat="1" applyFont="1" applyFill="1" applyBorder="1" applyAlignment="1">
      <alignment horizontal="center" vertical="center"/>
    </xf>
    <xf numFmtId="3" fontId="13" fillId="0" borderId="28" xfId="2" applyNumberFormat="1" applyFont="1" applyFill="1" applyBorder="1" applyAlignment="1">
      <alignment horizontal="center" vertical="center"/>
    </xf>
    <xf numFmtId="0" fontId="11" fillId="20" borderId="42" xfId="1" applyFont="1" applyFill="1" applyBorder="1" applyAlignment="1">
      <alignment horizontal="center" vertical="center"/>
    </xf>
    <xf numFmtId="3" fontId="16" fillId="20" borderId="45" xfId="1" applyNumberFormat="1" applyFont="1" applyFill="1" applyBorder="1" applyAlignment="1">
      <alignment horizontal="center" vertical="center"/>
    </xf>
    <xf numFmtId="3" fontId="16" fillId="20" borderId="48" xfId="1" applyNumberFormat="1" applyFont="1" applyFill="1" applyBorder="1" applyAlignment="1">
      <alignment horizontal="center" vertical="center"/>
    </xf>
    <xf numFmtId="9" fontId="16" fillId="20" borderId="45" xfId="3" applyFont="1" applyFill="1" applyBorder="1" applyAlignment="1">
      <alignment horizontal="center" vertical="center"/>
    </xf>
    <xf numFmtId="9" fontId="13" fillId="20" borderId="44" xfId="3" applyFont="1" applyFill="1" applyBorder="1" applyAlignment="1">
      <alignment horizontal="center" vertical="center"/>
    </xf>
    <xf numFmtId="0" fontId="12" fillId="32" borderId="8" xfId="2" applyFont="1" applyFill="1" applyBorder="1" applyAlignment="1">
      <alignment horizontal="right" vertical="center" wrapText="1" indent="1"/>
    </xf>
    <xf numFmtId="0" fontId="12" fillId="32" borderId="11" xfId="2" applyFont="1" applyFill="1" applyBorder="1" applyAlignment="1">
      <alignment horizontal="right" vertical="center" wrapText="1" indent="1"/>
    </xf>
    <xf numFmtId="0" fontId="12" fillId="32" borderId="11" xfId="2" applyFont="1" applyFill="1" applyBorder="1" applyAlignment="1">
      <alignment horizontal="right" vertical="center" indent="1"/>
    </xf>
    <xf numFmtId="0" fontId="14" fillId="32" borderId="11" xfId="2" applyFont="1" applyFill="1" applyBorder="1" applyAlignment="1">
      <alignment horizontal="right" vertical="center" wrapText="1" indent="1"/>
    </xf>
    <xf numFmtId="0" fontId="12" fillId="32" borderId="24" xfId="2" applyFont="1" applyFill="1" applyBorder="1" applyAlignment="1">
      <alignment vertical="center" wrapText="1"/>
    </xf>
    <xf numFmtId="0" fontId="12" fillId="32" borderId="39" xfId="2" applyFont="1" applyFill="1" applyBorder="1" applyAlignment="1">
      <alignment vertical="center" wrapText="1"/>
    </xf>
    <xf numFmtId="0" fontId="25" fillId="2" borderId="49" xfId="8" applyFont="1" applyFill="1" applyBorder="1" applyAlignment="1">
      <alignment horizontal="center" vertical="center"/>
    </xf>
    <xf numFmtId="0" fontId="169" fillId="2" borderId="49" xfId="8" applyFont="1" applyFill="1" applyBorder="1" applyAlignment="1">
      <alignment horizontal="center" vertical="center"/>
    </xf>
    <xf numFmtId="0" fontId="25" fillId="2" borderId="49" xfId="131" applyFont="1" applyFill="1" applyBorder="1" applyAlignment="1">
      <alignment horizontal="center" vertical="center"/>
    </xf>
    <xf numFmtId="0" fontId="25" fillId="2" borderId="50" xfId="131" applyFont="1" applyFill="1" applyBorder="1" applyAlignment="1">
      <alignment horizontal="center" vertical="center"/>
    </xf>
    <xf numFmtId="0" fontId="25" fillId="0" borderId="49" xfId="131" applyFont="1" applyBorder="1" applyAlignment="1">
      <alignment horizontal="center" vertical="center"/>
    </xf>
    <xf numFmtId="1" fontId="25" fillId="0" borderId="49" xfId="131" applyNumberFormat="1" applyFont="1" applyBorder="1" applyAlignment="1">
      <alignment horizontal="center" vertical="center"/>
    </xf>
    <xf numFmtId="0" fontId="25" fillId="2" borderId="38" xfId="8" applyFont="1" applyFill="1" applyBorder="1" applyAlignment="1">
      <alignment horizontal="center" vertical="center"/>
    </xf>
    <xf numFmtId="0" fontId="25" fillId="2" borderId="26" xfId="8" applyFont="1" applyFill="1" applyBorder="1" applyAlignment="1">
      <alignment horizontal="center" vertical="center"/>
    </xf>
    <xf numFmtId="0" fontId="25" fillId="0" borderId="26" xfId="8" applyFont="1" applyBorder="1" applyAlignment="1">
      <alignment horizontal="center" vertical="center"/>
    </xf>
    <xf numFmtId="0" fontId="25" fillId="2" borderId="72" xfId="8" applyFont="1" applyFill="1" applyBorder="1" applyAlignment="1">
      <alignment horizontal="center" vertical="center"/>
    </xf>
    <xf numFmtId="0" fontId="25" fillId="2" borderId="27" xfId="8" applyFont="1" applyFill="1" applyBorder="1" applyAlignment="1">
      <alignment horizontal="center" vertical="center"/>
    </xf>
    <xf numFmtId="0" fontId="12" fillId="20" borderId="91" xfId="8" applyFont="1" applyFill="1" applyBorder="1" applyAlignment="1">
      <alignment horizontal="center" vertical="center" wrapText="1"/>
    </xf>
    <xf numFmtId="0" fontId="12" fillId="20" borderId="31" xfId="8" applyFont="1" applyFill="1" applyBorder="1" applyAlignment="1">
      <alignment horizontal="center" vertical="center" wrapText="1"/>
    </xf>
    <xf numFmtId="0" fontId="12" fillId="20" borderId="31" xfId="22" applyFont="1" applyFill="1" applyBorder="1" applyAlignment="1">
      <alignment horizontal="center" vertical="center" wrapText="1"/>
    </xf>
    <xf numFmtId="0" fontId="169" fillId="20" borderId="91" xfId="8" applyFont="1" applyFill="1" applyBorder="1" applyAlignment="1">
      <alignment horizontal="center" vertical="center"/>
    </xf>
    <xf numFmtId="0" fontId="169" fillId="20" borderId="31" xfId="8" applyFont="1" applyFill="1" applyBorder="1" applyAlignment="1">
      <alignment horizontal="center" vertical="center"/>
    </xf>
    <xf numFmtId="0" fontId="169" fillId="20" borderId="55" xfId="22" applyFont="1" applyFill="1" applyBorder="1" applyAlignment="1">
      <alignment horizontal="center" vertical="center"/>
    </xf>
    <xf numFmtId="0" fontId="169" fillId="20" borderId="31" xfId="22" applyFont="1" applyFill="1" applyBorder="1" applyAlignment="1">
      <alignment horizontal="center" vertical="center"/>
    </xf>
    <xf numFmtId="0" fontId="169" fillId="20" borderId="32" xfId="22" applyFont="1" applyFill="1" applyBorder="1" applyAlignment="1">
      <alignment horizontal="center" vertical="center"/>
    </xf>
    <xf numFmtId="0" fontId="11" fillId="20" borderId="48" xfId="8" applyFont="1" applyFill="1" applyBorder="1" applyAlignment="1">
      <alignment horizontal="center" vertical="center" wrapText="1"/>
    </xf>
    <xf numFmtId="0" fontId="17" fillId="20" borderId="48" xfId="8" applyFont="1" applyFill="1" applyBorder="1" applyAlignment="1">
      <alignment horizontal="center" vertical="center"/>
    </xf>
    <xf numFmtId="0" fontId="9" fillId="20" borderId="36" xfId="8" applyFont="1" applyFill="1" applyBorder="1" applyAlignment="1">
      <alignment horizontal="center" vertical="center"/>
    </xf>
    <xf numFmtId="1" fontId="82" fillId="2" borderId="28" xfId="8" applyNumberFormat="1" applyFont="1" applyFill="1" applyBorder="1" applyAlignment="1">
      <alignment horizontal="center" vertical="center" readingOrder="2"/>
    </xf>
    <xf numFmtId="1" fontId="82" fillId="2" borderId="28" xfId="8" applyNumberFormat="1" applyFont="1" applyFill="1" applyBorder="1" applyAlignment="1">
      <alignment horizontal="center" vertical="center" wrapText="1" readingOrder="2"/>
    </xf>
    <xf numFmtId="1" fontId="82" fillId="20" borderId="48" xfId="8" applyNumberFormat="1" applyFont="1" applyFill="1" applyBorder="1" applyAlignment="1">
      <alignment horizontal="center" vertical="center" readingOrder="2"/>
    </xf>
    <xf numFmtId="2" fontId="9" fillId="20" borderId="36" xfId="8" applyNumberFormat="1" applyFont="1" applyFill="1" applyBorder="1" applyAlignment="1">
      <alignment horizontal="center" vertical="center"/>
    </xf>
    <xf numFmtId="1" fontId="82" fillId="2" borderId="22" xfId="8" applyNumberFormat="1" applyFont="1" applyFill="1" applyBorder="1" applyAlignment="1">
      <alignment horizontal="center" vertical="center" readingOrder="2"/>
    </xf>
    <xf numFmtId="2" fontId="9" fillId="0" borderId="23" xfId="8" applyNumberFormat="1" applyFont="1" applyBorder="1" applyAlignment="1">
      <alignment horizontal="center" vertical="center"/>
    </xf>
    <xf numFmtId="2" fontId="9" fillId="0" borderId="26" xfId="8" applyNumberFormat="1" applyFont="1" applyBorder="1" applyAlignment="1">
      <alignment horizontal="center" vertical="center"/>
    </xf>
    <xf numFmtId="2" fontId="9" fillId="0" borderId="40" xfId="8" applyNumberFormat="1" applyFont="1" applyBorder="1" applyAlignment="1">
      <alignment horizontal="center" vertical="center"/>
    </xf>
    <xf numFmtId="0" fontId="11" fillId="20" borderId="68" xfId="8" applyFont="1" applyFill="1" applyBorder="1" applyAlignment="1">
      <alignment horizontal="center" vertical="center" wrapText="1"/>
    </xf>
    <xf numFmtId="0" fontId="17" fillId="0" borderId="71" xfId="8" applyFont="1" applyBorder="1" applyAlignment="1">
      <alignment horizontal="center" vertical="center"/>
    </xf>
    <xf numFmtId="0" fontId="17" fillId="0" borderId="27" xfId="8" applyFont="1" applyBorder="1" applyAlignment="1">
      <alignment horizontal="center" vertical="center"/>
    </xf>
    <xf numFmtId="0" fontId="17" fillId="0" borderId="53" xfId="8" applyFont="1" applyBorder="1" applyAlignment="1">
      <alignment horizontal="center" vertical="center"/>
    </xf>
    <xf numFmtId="0" fontId="11" fillId="20" borderId="45" xfId="8" applyFont="1" applyFill="1" applyBorder="1" applyAlignment="1">
      <alignment horizontal="center" vertical="center" wrapText="1"/>
    </xf>
    <xf numFmtId="0" fontId="157" fillId="22" borderId="9" xfId="8" applyFont="1" applyFill="1" applyBorder="1" applyAlignment="1">
      <alignment horizontal="center" vertical="center"/>
    </xf>
    <xf numFmtId="0" fontId="157" fillId="22" borderId="12" xfId="8" applyFont="1" applyFill="1" applyBorder="1" applyAlignment="1">
      <alignment horizontal="center" vertical="center"/>
    </xf>
    <xf numFmtId="0" fontId="157" fillId="22" borderId="12" xfId="8" applyFont="1" applyFill="1" applyBorder="1" applyAlignment="1">
      <alignment horizontal="center" vertical="center" wrapText="1"/>
    </xf>
    <xf numFmtId="0" fontId="158" fillId="22" borderId="12" xfId="8" applyFont="1" applyFill="1" applyBorder="1" applyAlignment="1">
      <alignment horizontal="center" vertical="center" wrapText="1"/>
    </xf>
    <xf numFmtId="0" fontId="159" fillId="22" borderId="12" xfId="8" applyFont="1" applyFill="1" applyBorder="1" applyAlignment="1">
      <alignment horizontal="center" vertical="center"/>
    </xf>
    <xf numFmtId="0" fontId="157" fillId="22" borderId="15" xfId="8" applyFont="1" applyFill="1" applyBorder="1" applyAlignment="1">
      <alignment horizontal="center" vertical="center"/>
    </xf>
    <xf numFmtId="0" fontId="140" fillId="2" borderId="0" xfId="8" applyFont="1" applyFill="1" applyBorder="1" applyAlignment="1">
      <alignment horizontal="center" vertical="center"/>
    </xf>
    <xf numFmtId="0" fontId="13" fillId="2" borderId="0" xfId="8" applyFont="1" applyFill="1" applyBorder="1" applyAlignment="1">
      <alignment horizontal="center" vertical="center"/>
    </xf>
    <xf numFmtId="3" fontId="32" fillId="2" borderId="28" xfId="129" applyNumberFormat="1" applyFont="1" applyFill="1" applyBorder="1" applyAlignment="1">
      <alignment horizontal="center" vertical="center"/>
    </xf>
    <xf numFmtId="165" fontId="32" fillId="2" borderId="28" xfId="129" applyNumberFormat="1" applyFont="1" applyFill="1" applyBorder="1" applyAlignment="1">
      <alignment horizontal="center" vertical="center"/>
    </xf>
    <xf numFmtId="3" fontId="168" fillId="20" borderId="48" xfId="129" applyNumberFormat="1" applyFont="1" applyFill="1" applyBorder="1" applyAlignment="1">
      <alignment horizontal="center" vertical="center"/>
    </xf>
    <xf numFmtId="3" fontId="168" fillId="20" borderId="36" xfId="129" applyNumberFormat="1" applyFont="1" applyFill="1" applyBorder="1" applyAlignment="1">
      <alignment horizontal="center" vertical="center"/>
    </xf>
    <xf numFmtId="3" fontId="32" fillId="2" borderId="26" xfId="130" applyNumberFormat="1" applyFont="1" applyFill="1" applyBorder="1" applyAlignment="1">
      <alignment horizontal="center" vertical="center"/>
    </xf>
    <xf numFmtId="165" fontId="32" fillId="2" borderId="26" xfId="129" applyNumberFormat="1" applyFont="1" applyFill="1" applyBorder="1" applyAlignment="1">
      <alignment horizontal="center" vertical="center"/>
    </xf>
    <xf numFmtId="165" fontId="32" fillId="2" borderId="40" xfId="129" applyNumberFormat="1" applyFont="1" applyFill="1" applyBorder="1" applyAlignment="1">
      <alignment horizontal="center" vertical="center"/>
    </xf>
    <xf numFmtId="0" fontId="12" fillId="20" borderId="28" xfId="129" applyFont="1" applyFill="1" applyBorder="1" applyAlignment="1">
      <alignment horizontal="center" vertical="center" wrapText="1"/>
    </xf>
    <xf numFmtId="3" fontId="32" fillId="2" borderId="22" xfId="129" applyNumberFormat="1" applyFont="1" applyFill="1" applyBorder="1" applyAlignment="1">
      <alignment horizontal="center" vertical="center"/>
    </xf>
    <xf numFmtId="3" fontId="32" fillId="2" borderId="22" xfId="129" applyNumberFormat="1" applyFont="1" applyFill="1" applyBorder="1" applyAlignment="1">
      <alignment vertical="center"/>
    </xf>
    <xf numFmtId="2" fontId="32" fillId="2" borderId="22" xfId="129" applyNumberFormat="1" applyFont="1" applyFill="1" applyBorder="1" applyAlignment="1">
      <alignment horizontal="center" vertical="center"/>
    </xf>
    <xf numFmtId="3" fontId="168" fillId="2" borderId="22" xfId="130" applyNumberFormat="1" applyFont="1" applyFill="1" applyBorder="1" applyAlignment="1">
      <alignment horizontal="center" vertical="center"/>
    </xf>
    <xf numFmtId="3" fontId="32" fillId="0" borderId="71" xfId="129" applyNumberFormat="1" applyFont="1" applyBorder="1" applyAlignment="1">
      <alignment horizontal="right" vertical="center" indent="1"/>
    </xf>
    <xf numFmtId="3" fontId="32" fillId="0" borderId="27" xfId="129" applyNumberFormat="1" applyFont="1" applyBorder="1" applyAlignment="1">
      <alignment horizontal="right" vertical="center" indent="1"/>
    </xf>
    <xf numFmtId="3" fontId="168" fillId="0" borderId="27" xfId="129" applyNumberFormat="1" applyFont="1" applyBorder="1" applyAlignment="1">
      <alignment horizontal="center" vertical="center"/>
    </xf>
    <xf numFmtId="3" fontId="32" fillId="0" borderId="53" xfId="129" applyNumberFormat="1" applyFont="1" applyBorder="1" applyAlignment="1">
      <alignment horizontal="right" vertical="center" indent="1"/>
    </xf>
    <xf numFmtId="0" fontId="12" fillId="23" borderId="12" xfId="129" applyFont="1" applyFill="1" applyBorder="1" applyAlignment="1">
      <alignment horizontal="center" vertical="center" shrinkToFit="1"/>
    </xf>
    <xf numFmtId="0" fontId="12" fillId="23" borderId="12" xfId="129" applyFont="1" applyFill="1" applyBorder="1" applyAlignment="1">
      <alignment horizontal="center" vertical="center"/>
    </xf>
    <xf numFmtId="0" fontId="12" fillId="23" borderId="15" xfId="129" applyFont="1" applyFill="1" applyBorder="1" applyAlignment="1">
      <alignment horizontal="center" vertical="center"/>
    </xf>
    <xf numFmtId="0" fontId="12" fillId="20" borderId="42" xfId="110" applyFont="1" applyFill="1" applyBorder="1" applyAlignment="1">
      <alignment horizontal="center" vertical="center"/>
    </xf>
    <xf numFmtId="0" fontId="17" fillId="0" borderId="28" xfId="110" applyFont="1" applyBorder="1" applyAlignment="1">
      <alignment horizontal="center" vertical="center"/>
    </xf>
    <xf numFmtId="0" fontId="17" fillId="20" borderId="48" xfId="110" applyFont="1" applyFill="1" applyBorder="1" applyAlignment="1">
      <alignment horizontal="center" vertical="center"/>
    </xf>
    <xf numFmtId="0" fontId="17" fillId="20" borderId="36" xfId="110" applyFont="1" applyFill="1" applyBorder="1" applyAlignment="1">
      <alignment horizontal="center" vertical="center"/>
    </xf>
    <xf numFmtId="0" fontId="12" fillId="28" borderId="11" xfId="110" applyFont="1" applyFill="1" applyBorder="1" applyAlignment="1">
      <alignment horizontal="center" vertical="center" wrapText="1"/>
    </xf>
    <xf numFmtId="0" fontId="12" fillId="28" borderId="52" xfId="110" applyFont="1" applyFill="1" applyBorder="1" applyAlignment="1">
      <alignment horizontal="center" vertical="center" wrapText="1"/>
    </xf>
    <xf numFmtId="0" fontId="17" fillId="0" borderId="24" xfId="110" applyFont="1" applyBorder="1" applyAlignment="1">
      <alignment horizontal="center" vertical="center"/>
    </xf>
    <xf numFmtId="0" fontId="17" fillId="0" borderId="26" xfId="110" applyFont="1" applyBorder="1" applyAlignment="1">
      <alignment horizontal="center" vertical="center"/>
    </xf>
    <xf numFmtId="0" fontId="26" fillId="2" borderId="24" xfId="110" applyFont="1" applyFill="1" applyBorder="1" applyAlignment="1">
      <alignment horizontal="center" vertical="center" readingOrder="2"/>
    </xf>
    <xf numFmtId="0" fontId="17" fillId="0" borderId="39" xfId="110" applyFont="1" applyBorder="1" applyAlignment="1">
      <alignment horizontal="center" vertical="center"/>
    </xf>
    <xf numFmtId="0" fontId="17" fillId="0" borderId="40" xfId="110" applyFont="1" applyBorder="1" applyAlignment="1">
      <alignment horizontal="center" vertical="center"/>
    </xf>
    <xf numFmtId="0" fontId="17" fillId="20" borderId="35" xfId="110" applyFont="1" applyFill="1" applyBorder="1" applyAlignment="1">
      <alignment horizontal="center" vertical="center"/>
    </xf>
    <xf numFmtId="0" fontId="12" fillId="28" borderId="65" xfId="110" applyFont="1" applyFill="1" applyBorder="1" applyAlignment="1">
      <alignment horizontal="center" vertical="center" wrapText="1"/>
    </xf>
    <xf numFmtId="0" fontId="17" fillId="0" borderId="37" xfId="110" applyFont="1" applyBorder="1" applyAlignment="1">
      <alignment horizontal="center" vertical="center"/>
    </xf>
    <xf numFmtId="0" fontId="17" fillId="0" borderId="49" xfId="110" applyFont="1" applyBorder="1" applyAlignment="1">
      <alignment horizontal="center" vertical="center"/>
    </xf>
    <xf numFmtId="0" fontId="17" fillId="0" borderId="38" xfId="110" applyFont="1" applyBorder="1" applyAlignment="1">
      <alignment horizontal="center" vertical="center"/>
    </xf>
    <xf numFmtId="0" fontId="11" fillId="20" borderId="30" xfId="110" applyFont="1" applyFill="1" applyBorder="1" applyAlignment="1">
      <alignment horizontal="center" vertical="center" textRotation="90"/>
    </xf>
    <xf numFmtId="0" fontId="11" fillId="20" borderId="31" xfId="110" applyFont="1" applyFill="1" applyBorder="1" applyAlignment="1">
      <alignment horizontal="center" vertical="center" textRotation="90"/>
    </xf>
    <xf numFmtId="0" fontId="11" fillId="20" borderId="55" xfId="110" applyFont="1" applyFill="1" applyBorder="1" applyAlignment="1">
      <alignment horizontal="center" vertical="center" textRotation="90"/>
    </xf>
    <xf numFmtId="0" fontId="11" fillId="20" borderId="32" xfId="110" applyFont="1" applyFill="1" applyBorder="1" applyAlignment="1">
      <alignment horizontal="center" vertical="center" textRotation="90"/>
    </xf>
    <xf numFmtId="181" fontId="33" fillId="0" borderId="25" xfId="4" applyNumberFormat="1" applyFont="1" applyFill="1" applyBorder="1" applyAlignment="1" applyProtection="1">
      <alignment horizontal="center" vertical="center" wrapText="1" readingOrder="1"/>
      <protection locked="0"/>
    </xf>
    <xf numFmtId="0" fontId="11" fillId="20" borderId="2" xfId="1" applyFont="1" applyFill="1" applyBorder="1" applyAlignment="1">
      <alignment horizontal="center" vertical="center"/>
    </xf>
    <xf numFmtId="0" fontId="11" fillId="20" borderId="3" xfId="1" applyFont="1" applyFill="1" applyBorder="1" applyAlignment="1">
      <alignment horizontal="center" vertical="justify"/>
    </xf>
    <xf numFmtId="10" fontId="11" fillId="0" borderId="20" xfId="22" applyNumberFormat="1" applyFont="1" applyFill="1" applyBorder="1" applyAlignment="1" applyProtection="1">
      <alignment horizontal="right" vertical="center"/>
      <protection locked="0"/>
    </xf>
    <xf numFmtId="3" fontId="11" fillId="0" borderId="20" xfId="22" applyNumberFormat="1" applyFont="1" applyFill="1" applyBorder="1" applyAlignment="1" applyProtection="1">
      <alignment horizontal="right" vertical="center"/>
      <protection locked="0"/>
    </xf>
    <xf numFmtId="0" fontId="12" fillId="0" borderId="20" xfId="22" applyFont="1" applyFill="1" applyBorder="1" applyAlignment="1" applyProtection="1">
      <alignment horizontal="center" vertical="center"/>
      <protection locked="0"/>
    </xf>
    <xf numFmtId="9" fontId="32" fillId="0" borderId="36" xfId="22" applyNumberFormat="1" applyFont="1" applyFill="1" applyBorder="1" applyAlignment="1" applyProtection="1">
      <alignment horizontal="right" vertical="center" indent="4"/>
    </xf>
    <xf numFmtId="3" fontId="32" fillId="0" borderId="42" xfId="22" applyNumberFormat="1" applyFont="1" applyFill="1" applyBorder="1" applyAlignment="1" applyProtection="1">
      <alignment horizontal="right" vertical="center" indent="2"/>
    </xf>
    <xf numFmtId="3" fontId="32" fillId="2" borderId="36" xfId="22" applyNumberFormat="1" applyFont="1" applyFill="1" applyBorder="1" applyAlignment="1" applyProtection="1">
      <alignment horizontal="right" vertical="center" indent="2"/>
    </xf>
    <xf numFmtId="3" fontId="32" fillId="0" borderId="43" xfId="22" applyNumberFormat="1" applyFont="1" applyFill="1" applyBorder="1" applyAlignment="1" applyProtection="1">
      <alignment horizontal="right" vertical="center" indent="2"/>
    </xf>
    <xf numFmtId="0" fontId="12" fillId="28" borderId="45" xfId="22" applyFont="1" applyFill="1" applyBorder="1" applyAlignment="1" applyProtection="1">
      <alignment horizontal="center" vertical="center"/>
      <protection locked="0"/>
    </xf>
    <xf numFmtId="1" fontId="9" fillId="5" borderId="0" xfId="22" applyNumberFormat="1" applyFont="1" applyFill="1"/>
    <xf numFmtId="0" fontId="9" fillId="5" borderId="6" xfId="22" applyFont="1" applyFill="1" applyBorder="1"/>
    <xf numFmtId="1" fontId="9" fillId="0" borderId="0" xfId="22" applyNumberFormat="1" applyFont="1" applyFill="1"/>
    <xf numFmtId="9" fontId="32" fillId="0" borderId="69" xfId="22" applyNumberFormat="1" applyFont="1" applyFill="1" applyBorder="1" applyAlignment="1" applyProtection="1">
      <alignment horizontal="right" vertical="center" indent="4"/>
    </xf>
    <xf numFmtId="3" fontId="32" fillId="0" borderId="5" xfId="22" applyNumberFormat="1" applyFont="1" applyFill="1" applyBorder="1" applyAlignment="1" applyProtection="1">
      <alignment horizontal="right" vertical="center" indent="2"/>
    </xf>
    <xf numFmtId="3" fontId="32" fillId="0" borderId="63" xfId="22" applyNumberFormat="1" applyFont="1" applyFill="1" applyBorder="1" applyAlignment="1" applyProtection="1">
      <alignment horizontal="right" vertical="center" indent="2"/>
    </xf>
    <xf numFmtId="3" fontId="32" fillId="0" borderId="0" xfId="22" applyNumberFormat="1" applyFont="1" applyFill="1" applyBorder="1" applyAlignment="1" applyProtection="1">
      <alignment horizontal="right" vertical="center" indent="2"/>
    </xf>
    <xf numFmtId="0" fontId="12" fillId="28" borderId="6" xfId="22" applyFont="1" applyFill="1" applyBorder="1" applyAlignment="1" applyProtection="1">
      <alignment horizontal="center" vertical="center"/>
      <protection locked="0"/>
    </xf>
    <xf numFmtId="0" fontId="9" fillId="5" borderId="0" xfId="22" applyFont="1" applyFill="1"/>
    <xf numFmtId="0" fontId="12" fillId="5" borderId="6" xfId="22" applyFont="1" applyFill="1" applyBorder="1" applyAlignment="1" applyProtection="1">
      <alignment horizontal="center" vertical="center"/>
      <protection locked="0"/>
    </xf>
    <xf numFmtId="179" fontId="9" fillId="0" borderId="0" xfId="22" applyNumberFormat="1" applyFont="1" applyFill="1"/>
    <xf numFmtId="179" fontId="34" fillId="0" borderId="31" xfId="206" applyNumberFormat="1" applyFont="1" applyFill="1" applyBorder="1" applyAlignment="1" applyProtection="1">
      <alignment horizontal="center" wrapText="1" readingOrder="1"/>
      <protection locked="0"/>
    </xf>
    <xf numFmtId="0" fontId="11" fillId="0" borderId="22" xfId="1" applyFont="1" applyFill="1" applyBorder="1" applyAlignment="1">
      <alignment horizontal="center" vertical="center"/>
    </xf>
    <xf numFmtId="3" fontId="32" fillId="2" borderId="63" xfId="22" applyNumberFormat="1" applyFont="1" applyFill="1" applyBorder="1" applyAlignment="1" applyProtection="1">
      <alignment horizontal="right" vertical="center" indent="2"/>
    </xf>
    <xf numFmtId="1" fontId="32" fillId="0" borderId="0" xfId="22" applyNumberFormat="1" applyFont="1" applyFill="1" applyAlignment="1">
      <alignment horizontal="right" vertical="center" indent="2"/>
    </xf>
    <xf numFmtId="3" fontId="32" fillId="0" borderId="77" xfId="22" applyNumberFormat="1" applyFont="1" applyFill="1" applyBorder="1" applyAlignment="1" applyProtection="1">
      <alignment horizontal="right" vertical="center" indent="2"/>
    </xf>
    <xf numFmtId="175" fontId="82" fillId="0" borderId="69" xfId="22" applyNumberFormat="1" applyFont="1" applyFill="1" applyBorder="1" applyAlignment="1" applyProtection="1">
      <alignment horizontal="center" vertical="center"/>
    </xf>
    <xf numFmtId="0" fontId="12" fillId="5" borderId="0" xfId="22" applyFont="1" applyFill="1" applyBorder="1" applyAlignment="1" applyProtection="1">
      <alignment horizontal="center" vertical="center"/>
      <protection locked="0"/>
    </xf>
    <xf numFmtId="0" fontId="11" fillId="31" borderId="55" xfId="22" applyFont="1" applyFill="1" applyBorder="1" applyAlignment="1" applyProtection="1">
      <alignment horizontal="center" vertical="center"/>
      <protection locked="0"/>
    </xf>
    <xf numFmtId="3" fontId="40" fillId="20" borderId="48" xfId="1" applyNumberFormat="1" applyFont="1" applyFill="1" applyBorder="1" applyAlignment="1">
      <alignment horizontal="center" vertical="center"/>
    </xf>
    <xf numFmtId="0" fontId="12" fillId="20" borderId="43" xfId="8" applyFont="1" applyFill="1" applyBorder="1" applyAlignment="1">
      <alignment horizontal="center" vertical="center"/>
    </xf>
    <xf numFmtId="0" fontId="12" fillId="20" borderId="44" xfId="8" applyFont="1" applyFill="1" applyBorder="1" applyAlignment="1">
      <alignment horizontal="center" vertical="center"/>
    </xf>
    <xf numFmtId="0" fontId="32" fillId="20" borderId="43" xfId="8" applyFont="1" applyFill="1" applyBorder="1" applyAlignment="1">
      <alignment horizontal="center" vertical="center"/>
    </xf>
    <xf numFmtId="0" fontId="32" fillId="20" borderId="45" xfId="8" applyFont="1" applyFill="1" applyBorder="1" applyAlignment="1">
      <alignment horizontal="center" vertical="center"/>
    </xf>
    <xf numFmtId="0" fontId="32" fillId="20" borderId="44" xfId="8" applyFont="1" applyFill="1" applyBorder="1" applyAlignment="1">
      <alignment horizontal="center" vertical="center"/>
    </xf>
    <xf numFmtId="0" fontId="153" fillId="20" borderId="35" xfId="125" applyFont="1" applyFill="1" applyBorder="1" applyAlignment="1">
      <alignment horizontal="center" vertical="center" wrapText="1" readingOrder="2"/>
    </xf>
    <xf numFmtId="0" fontId="154" fillId="20" borderId="48" xfId="125" applyFont="1" applyFill="1" applyBorder="1" applyAlignment="1">
      <alignment horizontal="center" vertical="center" wrapText="1" readingOrder="2"/>
    </xf>
    <xf numFmtId="0" fontId="154" fillId="20" borderId="36" xfId="125" applyFont="1" applyFill="1" applyBorder="1" applyAlignment="1">
      <alignment horizontal="center" vertical="center" wrapText="1" readingOrder="2"/>
    </xf>
    <xf numFmtId="3" fontId="18" fillId="20" borderId="136" xfId="113" applyNumberFormat="1" applyFont="1" applyFill="1" applyBorder="1" applyAlignment="1">
      <alignment horizontal="center" vertical="center" readingOrder="2"/>
    </xf>
    <xf numFmtId="3" fontId="18" fillId="20" borderId="114" xfId="113" applyNumberFormat="1" applyFont="1" applyFill="1" applyBorder="1" applyAlignment="1">
      <alignment horizontal="center" vertical="center" readingOrder="2"/>
    </xf>
    <xf numFmtId="3" fontId="18" fillId="20" borderId="114" xfId="113" applyNumberFormat="1" applyFont="1" applyFill="1" applyBorder="1" applyAlignment="1">
      <alignment horizontal="center" vertical="center"/>
    </xf>
    <xf numFmtId="3" fontId="18" fillId="20" borderId="120" xfId="113" applyNumberFormat="1" applyFont="1" applyFill="1" applyBorder="1" applyAlignment="1">
      <alignment horizontal="center" vertical="center"/>
    </xf>
    <xf numFmtId="3" fontId="16" fillId="20" borderId="114" xfId="113" applyNumberFormat="1" applyFont="1" applyFill="1" applyBorder="1" applyAlignment="1">
      <alignment horizontal="center" vertical="center" readingOrder="2"/>
    </xf>
    <xf numFmtId="3" fontId="16" fillId="20" borderId="120" xfId="113" applyNumberFormat="1" applyFont="1" applyFill="1" applyBorder="1" applyAlignment="1">
      <alignment horizontal="center" vertical="center" readingOrder="2"/>
    </xf>
    <xf numFmtId="3" fontId="16" fillId="28" borderId="133" xfId="113" applyNumberFormat="1" applyFont="1" applyFill="1" applyBorder="1" applyAlignment="1">
      <alignment horizontal="center" vertical="center" readingOrder="2"/>
    </xf>
    <xf numFmtId="3" fontId="16" fillId="28" borderId="49" xfId="113" applyNumberFormat="1" applyFont="1" applyFill="1" applyBorder="1" applyAlignment="1">
      <alignment horizontal="center" vertical="center" readingOrder="2"/>
    </xf>
    <xf numFmtId="3" fontId="16" fillId="28" borderId="134" xfId="113" applyNumberFormat="1" applyFont="1" applyFill="1" applyBorder="1" applyAlignment="1">
      <alignment horizontal="center" vertical="center" readingOrder="2"/>
    </xf>
    <xf numFmtId="3" fontId="16" fillId="28" borderId="92" xfId="113" applyNumberFormat="1" applyFont="1" applyFill="1" applyBorder="1" applyAlignment="1">
      <alignment horizontal="center" vertical="center" readingOrder="2"/>
    </xf>
    <xf numFmtId="3" fontId="16" fillId="28" borderId="135" xfId="113" applyNumberFormat="1" applyFont="1" applyFill="1" applyBorder="1" applyAlignment="1">
      <alignment horizontal="center" vertical="center" readingOrder="2"/>
    </xf>
    <xf numFmtId="3" fontId="16" fillId="28" borderId="28" xfId="113" applyNumberFormat="1" applyFont="1" applyFill="1" applyBorder="1" applyAlignment="1">
      <alignment horizontal="center" vertical="center" readingOrder="2"/>
    </xf>
    <xf numFmtId="0" fontId="18" fillId="20" borderId="114" xfId="113" applyFont="1" applyFill="1" applyBorder="1" applyAlignment="1">
      <alignment horizontal="center" vertical="center"/>
    </xf>
    <xf numFmtId="3" fontId="140" fillId="20" borderId="114" xfId="113" applyNumberFormat="1" applyFont="1" applyFill="1" applyBorder="1" applyAlignment="1">
      <alignment horizontal="center" vertical="center" readingOrder="2"/>
    </xf>
    <xf numFmtId="3" fontId="140" fillId="20" borderId="120" xfId="113" applyNumberFormat="1" applyFont="1" applyFill="1" applyBorder="1" applyAlignment="1">
      <alignment horizontal="center" vertical="center" readingOrder="2"/>
    </xf>
    <xf numFmtId="0" fontId="18" fillId="20" borderId="113" xfId="113" applyFont="1" applyFill="1" applyBorder="1" applyAlignment="1">
      <alignment horizontal="center" vertical="center"/>
    </xf>
    <xf numFmtId="3" fontId="140" fillId="0" borderId="72" xfId="113" applyNumberFormat="1" applyFont="1" applyBorder="1" applyAlignment="1">
      <alignment horizontal="center" vertical="center" readingOrder="2"/>
    </xf>
    <xf numFmtId="3" fontId="140" fillId="0" borderId="27" xfId="113" applyNumberFormat="1" applyFont="1" applyBorder="1" applyAlignment="1">
      <alignment horizontal="center" vertical="center" readingOrder="2"/>
    </xf>
    <xf numFmtId="3" fontId="140" fillId="0" borderId="53" xfId="113" applyNumberFormat="1" applyFont="1" applyBorder="1" applyAlignment="1">
      <alignment horizontal="center" vertical="center" readingOrder="2"/>
    </xf>
    <xf numFmtId="3" fontId="140" fillId="20" borderId="113" xfId="113" applyNumberFormat="1" applyFont="1" applyFill="1" applyBorder="1" applyAlignment="1">
      <alignment horizontal="center" vertical="center" readingOrder="2"/>
    </xf>
    <xf numFmtId="0" fontId="18" fillId="20" borderId="252" xfId="113" applyFont="1" applyFill="1" applyBorder="1" applyAlignment="1">
      <alignment horizontal="center" vertical="center"/>
    </xf>
    <xf numFmtId="0" fontId="18" fillId="20" borderId="253" xfId="113" applyFont="1" applyFill="1" applyBorder="1" applyAlignment="1">
      <alignment horizontal="center" vertical="center"/>
    </xf>
    <xf numFmtId="3" fontId="140" fillId="28" borderId="37" xfId="113" applyNumberFormat="1" applyFont="1" applyFill="1" applyBorder="1" applyAlignment="1">
      <alignment horizontal="center" vertical="center" readingOrder="2"/>
    </xf>
    <xf numFmtId="3" fontId="140" fillId="28" borderId="38" xfId="113" applyNumberFormat="1" applyFont="1" applyFill="1" applyBorder="1" applyAlignment="1">
      <alignment horizontal="center" vertical="center" readingOrder="2"/>
    </xf>
    <xf numFmtId="3" fontId="140" fillId="28" borderId="24" xfId="113" applyNumberFormat="1" applyFont="1" applyFill="1" applyBorder="1" applyAlignment="1">
      <alignment horizontal="center" vertical="center" readingOrder="2"/>
    </xf>
    <xf numFmtId="3" fontId="140" fillId="28" borderId="26" xfId="113" applyNumberFormat="1" applyFont="1" applyFill="1" applyBorder="1" applyAlignment="1">
      <alignment horizontal="center" vertical="center" readingOrder="2"/>
    </xf>
    <xf numFmtId="3" fontId="140" fillId="28" borderId="39" xfId="113" applyNumberFormat="1" applyFont="1" applyFill="1" applyBorder="1" applyAlignment="1">
      <alignment horizontal="center" vertical="center" readingOrder="2"/>
    </xf>
    <xf numFmtId="3" fontId="140" fillId="28" borderId="40" xfId="113" applyNumberFormat="1" applyFont="1" applyFill="1" applyBorder="1" applyAlignment="1">
      <alignment horizontal="center" vertical="center" readingOrder="2"/>
    </xf>
    <xf numFmtId="3" fontId="18" fillId="20" borderId="3" xfId="113" applyNumberFormat="1" applyFont="1" applyFill="1" applyBorder="1" applyAlignment="1">
      <alignment horizontal="center" vertical="center" readingOrder="2"/>
    </xf>
    <xf numFmtId="0" fontId="11" fillId="20" borderId="70" xfId="8" applyFont="1" applyFill="1" applyBorder="1" applyAlignment="1">
      <alignment horizontal="center" vertical="center" wrapText="1"/>
    </xf>
    <xf numFmtId="0" fontId="11" fillId="20" borderId="61" xfId="8" applyFont="1" applyFill="1" applyBorder="1" applyAlignment="1">
      <alignment horizontal="center" vertical="center"/>
    </xf>
    <xf numFmtId="0" fontId="11" fillId="20" borderId="47" xfId="8" applyFont="1" applyFill="1" applyBorder="1" applyAlignment="1">
      <alignment horizontal="center" vertical="center"/>
    </xf>
    <xf numFmtId="3" fontId="32" fillId="0" borderId="70" xfId="8" applyNumberFormat="1" applyFont="1" applyBorder="1" applyAlignment="1">
      <alignment horizontal="right" vertical="center" indent="3"/>
    </xf>
    <xf numFmtId="3" fontId="32" fillId="5" borderId="61" xfId="8" applyNumberFormat="1" applyFont="1" applyFill="1" applyBorder="1" applyAlignment="1">
      <alignment horizontal="right" vertical="center" indent="3"/>
    </xf>
    <xf numFmtId="3" fontId="32" fillId="0" borderId="61" xfId="8" applyNumberFormat="1" applyFont="1" applyBorder="1" applyAlignment="1">
      <alignment horizontal="right" vertical="center" indent="3"/>
    </xf>
    <xf numFmtId="3" fontId="32" fillId="0" borderId="72" xfId="8" applyNumberFormat="1" applyFont="1" applyBorder="1" applyAlignment="1">
      <alignment horizontal="right" vertical="center" indent="3"/>
    </xf>
    <xf numFmtId="3" fontId="32" fillId="5" borderId="92" xfId="8" applyNumberFormat="1" applyFont="1" applyFill="1" applyBorder="1" applyAlignment="1">
      <alignment horizontal="right" vertical="center" indent="3"/>
    </xf>
    <xf numFmtId="3" fontId="32" fillId="0" borderId="27" xfId="8" applyNumberFormat="1" applyFont="1" applyBorder="1" applyAlignment="1">
      <alignment horizontal="right" vertical="center" indent="3"/>
    </xf>
    <xf numFmtId="3" fontId="35" fillId="28" borderId="9" xfId="113" applyNumberFormat="1" applyFont="1" applyFill="1" applyBorder="1" applyAlignment="1">
      <alignment horizontal="center" vertical="center" readingOrder="2"/>
    </xf>
    <xf numFmtId="0" fontId="16" fillId="28" borderId="9" xfId="117" applyFont="1" applyFill="1" applyBorder="1" applyAlignment="1">
      <alignment horizontal="center" wrapText="1" readingOrder="2"/>
    </xf>
    <xf numFmtId="3" fontId="35" fillId="28" borderId="12" xfId="113" applyNumberFormat="1" applyFont="1" applyFill="1" applyBorder="1" applyAlignment="1">
      <alignment horizontal="center" vertical="center" readingOrder="2"/>
    </xf>
    <xf numFmtId="0" fontId="16" fillId="28" borderId="12" xfId="8" applyFont="1" applyFill="1" applyBorder="1" applyAlignment="1">
      <alignment horizontal="center" wrapText="1" readingOrder="2"/>
    </xf>
    <xf numFmtId="3" fontId="35" fillId="28" borderId="15" xfId="113" applyNumberFormat="1" applyFont="1" applyFill="1" applyBorder="1" applyAlignment="1">
      <alignment horizontal="center" vertical="center" readingOrder="2"/>
    </xf>
    <xf numFmtId="0" fontId="18" fillId="28" borderId="15" xfId="8" applyFont="1" applyFill="1" applyBorder="1" applyAlignment="1">
      <alignment horizontal="center" wrapText="1" readingOrder="2"/>
    </xf>
    <xf numFmtId="3" fontId="16" fillId="28" borderId="37" xfId="113" applyNumberFormat="1" applyFont="1" applyFill="1" applyBorder="1" applyAlignment="1">
      <alignment horizontal="center" vertical="center" readingOrder="2"/>
    </xf>
    <xf numFmtId="3" fontId="16" fillId="28" borderId="24" xfId="113" applyNumberFormat="1" applyFont="1" applyFill="1" applyBorder="1" applyAlignment="1">
      <alignment horizontal="center" vertical="center" readingOrder="2"/>
    </xf>
    <xf numFmtId="3" fontId="16" fillId="20" borderId="31" xfId="113" applyNumberFormat="1" applyFont="1" applyFill="1" applyBorder="1" applyAlignment="1">
      <alignment horizontal="center" vertical="center" readingOrder="2"/>
    </xf>
    <xf numFmtId="3" fontId="16" fillId="20" borderId="32" xfId="113" applyNumberFormat="1" applyFont="1" applyFill="1" applyBorder="1" applyAlignment="1">
      <alignment horizontal="center" vertical="center" readingOrder="2"/>
    </xf>
    <xf numFmtId="3" fontId="18" fillId="20" borderId="35" xfId="113" applyNumberFormat="1" applyFont="1" applyFill="1" applyBorder="1" applyAlignment="1">
      <alignment horizontal="center" vertical="center" readingOrder="2"/>
    </xf>
    <xf numFmtId="3" fontId="18" fillId="20" borderId="48" xfId="113" applyNumberFormat="1" applyFont="1" applyFill="1" applyBorder="1" applyAlignment="1">
      <alignment horizontal="center" vertical="center" readingOrder="2"/>
    </xf>
    <xf numFmtId="3" fontId="18" fillId="20" borderId="48" xfId="113" applyNumberFormat="1" applyFont="1" applyFill="1" applyBorder="1" applyAlignment="1">
      <alignment horizontal="center" vertical="center"/>
    </xf>
    <xf numFmtId="3" fontId="18" fillId="20" borderId="36" xfId="113" applyNumberFormat="1" applyFont="1" applyFill="1" applyBorder="1" applyAlignment="1">
      <alignment horizontal="center" vertical="center"/>
    </xf>
    <xf numFmtId="3" fontId="18" fillId="20" borderId="36" xfId="113" applyNumberFormat="1" applyFont="1" applyFill="1" applyBorder="1" applyAlignment="1">
      <alignment horizontal="center" vertical="center" readingOrder="2"/>
    </xf>
    <xf numFmtId="3" fontId="18" fillId="20" borderId="68" xfId="113" applyNumberFormat="1" applyFont="1" applyFill="1" applyBorder="1" applyAlignment="1">
      <alignment horizontal="center" vertical="center"/>
    </xf>
    <xf numFmtId="3" fontId="16" fillId="2" borderId="49" xfId="113" applyNumberFormat="1" applyFont="1" applyFill="1" applyBorder="1" applyAlignment="1">
      <alignment horizontal="center" vertical="center" readingOrder="2"/>
    </xf>
    <xf numFmtId="3" fontId="16" fillId="2" borderId="92" xfId="113" applyNumberFormat="1" applyFont="1" applyFill="1" applyBorder="1" applyAlignment="1">
      <alignment horizontal="center" vertical="center" readingOrder="2"/>
    </xf>
    <xf numFmtId="0" fontId="18" fillId="20" borderId="42" xfId="113" applyFont="1" applyFill="1" applyBorder="1" applyAlignment="1">
      <alignment horizontal="center" vertical="center"/>
    </xf>
    <xf numFmtId="0" fontId="18" fillId="20" borderId="45" xfId="113" applyFont="1" applyFill="1" applyBorder="1" applyAlignment="1">
      <alignment horizontal="center" vertical="center"/>
    </xf>
    <xf numFmtId="0" fontId="18" fillId="20" borderId="68" xfId="113" applyFont="1" applyFill="1" applyBorder="1" applyAlignment="1">
      <alignment horizontal="center" vertical="center"/>
    </xf>
    <xf numFmtId="0" fontId="18" fillId="20" borderId="48" xfId="113" applyFont="1" applyFill="1" applyBorder="1" applyAlignment="1">
      <alignment horizontal="center" vertical="center"/>
    </xf>
    <xf numFmtId="0" fontId="18" fillId="20" borderId="41" xfId="113" applyFont="1" applyFill="1" applyBorder="1" applyAlignment="1">
      <alignment horizontal="center" vertical="center"/>
    </xf>
    <xf numFmtId="3" fontId="18" fillId="20" borderId="45" xfId="113" applyNumberFormat="1" applyFont="1" applyFill="1" applyBorder="1" applyAlignment="1">
      <alignment horizontal="center" vertical="center"/>
    </xf>
    <xf numFmtId="3" fontId="140" fillId="2" borderId="92" xfId="113" applyNumberFormat="1" applyFont="1" applyFill="1" applyBorder="1" applyAlignment="1">
      <alignment horizontal="center" vertical="center" readingOrder="2"/>
    </xf>
    <xf numFmtId="3" fontId="140" fillId="20" borderId="58" xfId="113" applyNumberFormat="1" applyFont="1" applyFill="1" applyBorder="1" applyAlignment="1">
      <alignment horizontal="center" vertical="center" readingOrder="2"/>
    </xf>
    <xf numFmtId="3" fontId="140" fillId="20" borderId="57" xfId="113" applyNumberFormat="1" applyFont="1" applyFill="1" applyBorder="1" applyAlignment="1">
      <alignment horizontal="center" vertical="center" readingOrder="2"/>
    </xf>
    <xf numFmtId="3" fontId="140" fillId="28" borderId="21" xfId="113" applyNumberFormat="1" applyFont="1" applyFill="1" applyBorder="1" applyAlignment="1">
      <alignment horizontal="center" vertical="center" readingOrder="2"/>
    </xf>
    <xf numFmtId="3" fontId="140" fillId="0" borderId="22" xfId="113" applyNumberFormat="1" applyFont="1" applyBorder="1" applyAlignment="1">
      <alignment horizontal="center" vertical="center" readingOrder="2"/>
    </xf>
    <xf numFmtId="3" fontId="140" fillId="2" borderId="22" xfId="113" applyNumberFormat="1" applyFont="1" applyFill="1" applyBorder="1" applyAlignment="1">
      <alignment horizontal="center" vertical="center" readingOrder="2"/>
    </xf>
    <xf numFmtId="3" fontId="140" fillId="18" borderId="23" xfId="113" applyNumberFormat="1" applyFont="1" applyFill="1" applyBorder="1" applyAlignment="1">
      <alignment horizontal="center" vertical="center" readingOrder="2"/>
    </xf>
    <xf numFmtId="3" fontId="140" fillId="28" borderId="30" xfId="113" applyNumberFormat="1" applyFont="1" applyFill="1" applyBorder="1" applyAlignment="1">
      <alignment horizontal="center" vertical="center" readingOrder="2"/>
    </xf>
    <xf numFmtId="3" fontId="140" fillId="0" borderId="31" xfId="113" applyNumberFormat="1" applyFont="1" applyBorder="1" applyAlignment="1">
      <alignment horizontal="center" vertical="center" readingOrder="2"/>
    </xf>
    <xf numFmtId="3" fontId="140" fillId="18" borderId="32" xfId="113" applyNumberFormat="1" applyFont="1" applyFill="1" applyBorder="1" applyAlignment="1">
      <alignment horizontal="center" vertical="center" readingOrder="2"/>
    </xf>
    <xf numFmtId="3" fontId="140" fillId="0" borderId="71" xfId="113" applyNumberFormat="1" applyFont="1" applyBorder="1" applyAlignment="1">
      <alignment horizontal="center" vertical="center" readingOrder="2"/>
    </xf>
    <xf numFmtId="3" fontId="140" fillId="0" borderId="91" xfId="113" applyNumberFormat="1" applyFont="1" applyBorder="1" applyAlignment="1">
      <alignment horizontal="center" vertical="center" readingOrder="2"/>
    </xf>
    <xf numFmtId="3" fontId="140" fillId="28" borderId="23" xfId="113" applyNumberFormat="1" applyFont="1" applyFill="1" applyBorder="1" applyAlignment="1">
      <alignment horizontal="center" vertical="center" readingOrder="2"/>
    </xf>
    <xf numFmtId="3" fontId="140" fillId="28" borderId="32" xfId="113" applyNumberFormat="1" applyFont="1" applyFill="1" applyBorder="1" applyAlignment="1">
      <alignment horizontal="center" vertical="center" readingOrder="2"/>
    </xf>
    <xf numFmtId="0" fontId="35" fillId="2" borderId="49" xfId="8" applyFont="1" applyFill="1" applyBorder="1" applyAlignment="1">
      <alignment horizontal="center" vertical="center" readingOrder="2"/>
    </xf>
    <xf numFmtId="0" fontId="16" fillId="20" borderId="35" xfId="8" applyFont="1" applyFill="1" applyBorder="1" applyAlignment="1">
      <alignment horizontal="center" vertical="center" readingOrder="2"/>
    </xf>
    <xf numFmtId="0" fontId="16" fillId="20" borderId="48" xfId="8" applyFont="1" applyFill="1" applyBorder="1" applyAlignment="1">
      <alignment horizontal="center" vertical="center" readingOrder="2"/>
    </xf>
    <xf numFmtId="0" fontId="16" fillId="20" borderId="36" xfId="8" applyFont="1" applyFill="1" applyBorder="1" applyAlignment="1">
      <alignment horizontal="center" vertical="center" readingOrder="2"/>
    </xf>
    <xf numFmtId="0" fontId="26" fillId="28" borderId="37" xfId="8" applyFont="1" applyFill="1" applyBorder="1" applyAlignment="1">
      <alignment horizontal="center" vertical="center" readingOrder="2"/>
    </xf>
    <xf numFmtId="0" fontId="35" fillId="0" borderId="38" xfId="8" applyFont="1" applyBorder="1" applyAlignment="1">
      <alignment horizontal="center" vertical="center" readingOrder="2"/>
    </xf>
    <xf numFmtId="0" fontId="26" fillId="28" borderId="24" xfId="8" applyFont="1" applyFill="1" applyBorder="1" applyAlignment="1">
      <alignment horizontal="center" vertical="center" readingOrder="2"/>
    </xf>
    <xf numFmtId="0" fontId="35" fillId="0" borderId="26" xfId="8" applyFont="1" applyBorder="1" applyAlignment="1">
      <alignment horizontal="center" vertical="center" readingOrder="2"/>
    </xf>
    <xf numFmtId="0" fontId="35" fillId="20" borderId="31" xfId="8" applyFont="1" applyFill="1" applyBorder="1" applyAlignment="1">
      <alignment horizontal="center" vertical="center" readingOrder="2"/>
    </xf>
    <xf numFmtId="0" fontId="35" fillId="20" borderId="32" xfId="8" applyFont="1" applyFill="1" applyBorder="1" applyAlignment="1">
      <alignment horizontal="center" vertical="center" readingOrder="2"/>
    </xf>
    <xf numFmtId="0" fontId="16" fillId="20" borderId="68" xfId="8" applyFont="1" applyFill="1" applyBorder="1" applyAlignment="1">
      <alignment horizontal="center" vertical="center" readingOrder="2"/>
    </xf>
    <xf numFmtId="0" fontId="35" fillId="2" borderId="72" xfId="8" applyFont="1" applyFill="1" applyBorder="1" applyAlignment="1">
      <alignment horizontal="center" vertical="center" readingOrder="2"/>
    </xf>
    <xf numFmtId="0" fontId="35" fillId="2" borderId="27" xfId="8" applyFont="1" applyFill="1" applyBorder="1" applyAlignment="1">
      <alignment horizontal="center" vertical="center" readingOrder="2"/>
    </xf>
    <xf numFmtId="0" fontId="35" fillId="20" borderId="91" xfId="8" applyFont="1" applyFill="1" applyBorder="1" applyAlignment="1">
      <alignment horizontal="center" vertical="center" readingOrder="2"/>
    </xf>
    <xf numFmtId="0" fontId="16" fillId="28" borderId="38" xfId="8" applyFont="1" applyFill="1" applyBorder="1" applyAlignment="1">
      <alignment horizontal="center" vertical="center" readingOrder="2"/>
    </xf>
    <xf numFmtId="0" fontId="16" fillId="28" borderId="26" xfId="8" applyFont="1" applyFill="1" applyBorder="1" applyAlignment="1">
      <alignment horizontal="center" vertical="center" readingOrder="2"/>
    </xf>
    <xf numFmtId="0" fontId="11" fillId="28" borderId="26" xfId="8" applyFont="1" applyFill="1" applyBorder="1" applyAlignment="1">
      <alignment horizontal="center" vertical="center"/>
    </xf>
    <xf numFmtId="0" fontId="16" fillId="20" borderId="246" xfId="23" applyFont="1" applyFill="1" applyBorder="1" applyAlignment="1">
      <alignment horizontal="center" vertical="center" wrapText="1" readingOrder="2"/>
    </xf>
    <xf numFmtId="0" fontId="13" fillId="28" borderId="45" xfId="23" applyFont="1" applyFill="1" applyBorder="1" applyAlignment="1">
      <alignment horizontal="center" vertical="center" wrapText="1" readingOrder="2"/>
    </xf>
    <xf numFmtId="0" fontId="197" fillId="28" borderId="43" xfId="23" applyFont="1" applyFill="1" applyBorder="1" applyAlignment="1">
      <alignment horizontal="right" vertical="center" wrapText="1" readingOrder="2"/>
    </xf>
    <xf numFmtId="3" fontId="18" fillId="20" borderId="45" xfId="113" applyNumberFormat="1" applyFont="1" applyFill="1" applyBorder="1" applyAlignment="1">
      <alignment horizontal="center" vertical="center" readingOrder="2"/>
    </xf>
    <xf numFmtId="3" fontId="18" fillId="20" borderId="44" xfId="113" applyNumberFormat="1" applyFont="1" applyFill="1" applyBorder="1" applyAlignment="1">
      <alignment horizontal="center" vertical="center" readingOrder="2"/>
    </xf>
    <xf numFmtId="0" fontId="11" fillId="20" borderId="48" xfId="8" applyFont="1" applyFill="1" applyBorder="1" applyAlignment="1">
      <alignment horizontal="center" vertical="center"/>
    </xf>
    <xf numFmtId="0" fontId="11" fillId="20" borderId="36" xfId="8" applyFont="1" applyFill="1" applyBorder="1" applyAlignment="1">
      <alignment horizontal="center" vertical="center"/>
    </xf>
    <xf numFmtId="3" fontId="35" fillId="28" borderId="76" xfId="113" applyNumberFormat="1" applyFont="1" applyFill="1" applyBorder="1" applyAlignment="1">
      <alignment horizontal="center" vertical="center" readingOrder="2"/>
    </xf>
    <xf numFmtId="0" fontId="16" fillId="28" borderId="76" xfId="117" applyFont="1" applyFill="1" applyBorder="1" applyAlignment="1">
      <alignment horizontal="center" wrapText="1" readingOrder="2"/>
    </xf>
    <xf numFmtId="0" fontId="18" fillId="28" borderId="12" xfId="8" applyFont="1" applyFill="1" applyBorder="1" applyAlignment="1">
      <alignment horizontal="center" wrapText="1" readingOrder="2"/>
    </xf>
    <xf numFmtId="3" fontId="35" fillId="28" borderId="37" xfId="113" applyNumberFormat="1" applyFont="1" applyFill="1" applyBorder="1" applyAlignment="1">
      <alignment horizontal="center" vertical="center" readingOrder="2"/>
    </xf>
    <xf numFmtId="0" fontId="16" fillId="28" borderId="49" xfId="117" applyFont="1" applyFill="1" applyBorder="1" applyAlignment="1">
      <alignment horizontal="center" wrapText="1" readingOrder="2"/>
    </xf>
    <xf numFmtId="3" fontId="35" fillId="28" borderId="24" xfId="113" applyNumberFormat="1" applyFont="1" applyFill="1" applyBorder="1" applyAlignment="1">
      <alignment horizontal="center" vertical="center" readingOrder="2"/>
    </xf>
    <xf numFmtId="0" fontId="16" fillId="28" borderId="92" xfId="8" applyFont="1" applyFill="1" applyBorder="1" applyAlignment="1">
      <alignment horizontal="center" wrapText="1" readingOrder="2"/>
    </xf>
    <xf numFmtId="3" fontId="35" fillId="28" borderId="39" xfId="113" applyNumberFormat="1" applyFont="1" applyFill="1" applyBorder="1" applyAlignment="1">
      <alignment horizontal="center" vertical="center" readingOrder="2"/>
    </xf>
    <xf numFmtId="0" fontId="18" fillId="28" borderId="28" xfId="8" applyFont="1" applyFill="1" applyBorder="1" applyAlignment="1">
      <alignment horizontal="center" wrapText="1" readingOrder="2"/>
    </xf>
    <xf numFmtId="3" fontId="32" fillId="20" borderId="68" xfId="8" applyNumberFormat="1" applyFont="1" applyFill="1" applyBorder="1" applyAlignment="1">
      <alignment horizontal="center" vertical="center"/>
    </xf>
    <xf numFmtId="3" fontId="32" fillId="20" borderId="48" xfId="8" applyNumberFormat="1" applyFont="1" applyFill="1" applyBorder="1" applyAlignment="1">
      <alignment horizontal="center" vertical="center"/>
    </xf>
    <xf numFmtId="3" fontId="32" fillId="20" borderId="36" xfId="8" applyNumberFormat="1" applyFont="1" applyFill="1" applyBorder="1" applyAlignment="1">
      <alignment horizontal="center" vertical="center"/>
    </xf>
    <xf numFmtId="0" fontId="24" fillId="20" borderId="113" xfId="8" applyFont="1" applyFill="1" applyBorder="1" applyAlignment="1">
      <alignment horizontal="center" vertical="center" wrapText="1"/>
    </xf>
    <xf numFmtId="0" fontId="24" fillId="20" borderId="120" xfId="8" applyFont="1" applyFill="1" applyBorder="1" applyAlignment="1">
      <alignment horizontal="center" vertical="center"/>
    </xf>
    <xf numFmtId="0" fontId="16" fillId="20" borderId="252" xfId="8" applyFont="1" applyFill="1" applyBorder="1" applyAlignment="1">
      <alignment horizontal="center" vertical="center" wrapText="1" readingOrder="2"/>
    </xf>
    <xf numFmtId="0" fontId="16" fillId="20" borderId="253" xfId="8" applyFont="1" applyFill="1" applyBorder="1" applyAlignment="1">
      <alignment horizontal="center" vertical="center" wrapText="1" readingOrder="2"/>
    </xf>
    <xf numFmtId="0" fontId="26" fillId="2" borderId="37" xfId="8" applyFont="1" applyFill="1" applyBorder="1" applyAlignment="1">
      <alignment horizontal="center" vertical="center" wrapText="1" readingOrder="2"/>
    </xf>
    <xf numFmtId="0" fontId="16" fillId="0" borderId="38" xfId="117" applyFont="1" applyBorder="1" applyAlignment="1">
      <alignment horizontal="center" vertical="center" wrapText="1" readingOrder="2"/>
    </xf>
    <xf numFmtId="0" fontId="26" fillId="2" borderId="24" xfId="8" applyFont="1" applyFill="1" applyBorder="1" applyAlignment="1">
      <alignment horizontal="center" vertical="center" wrapText="1" readingOrder="2"/>
    </xf>
    <xf numFmtId="0" fontId="16" fillId="0" borderId="26" xfId="8" applyFont="1" applyBorder="1" applyAlignment="1">
      <alignment horizontal="center" vertical="center" wrapText="1" readingOrder="2"/>
    </xf>
    <xf numFmtId="0" fontId="26" fillId="2" borderId="39" xfId="8" applyFont="1" applyFill="1" applyBorder="1" applyAlignment="1">
      <alignment horizontal="center" vertical="center" wrapText="1" readingOrder="2"/>
    </xf>
    <xf numFmtId="0" fontId="11" fillId="0" borderId="40" xfId="8" applyFont="1" applyBorder="1" applyAlignment="1">
      <alignment horizontal="center" vertical="center"/>
    </xf>
    <xf numFmtId="0" fontId="24" fillId="20" borderId="256" xfId="118" applyFont="1" applyFill="1" applyBorder="1" applyAlignment="1">
      <alignment horizontal="center" vertical="center" wrapText="1"/>
    </xf>
    <xf numFmtId="0" fontId="32" fillId="20" borderId="35" xfId="4" applyFont="1" applyFill="1" applyBorder="1" applyAlignment="1">
      <alignment horizontal="center" vertical="center"/>
    </xf>
    <xf numFmtId="0" fontId="32" fillId="20" borderId="36" xfId="4" applyFont="1" applyFill="1" applyBorder="1" applyAlignment="1">
      <alignment vertical="center"/>
    </xf>
    <xf numFmtId="0" fontId="32" fillId="20" borderId="36" xfId="5" applyFont="1" applyFill="1" applyBorder="1" applyAlignment="1">
      <alignment horizontal="center" vertical="center"/>
    </xf>
    <xf numFmtId="1" fontId="35" fillId="20" borderId="35" xfId="7" applyNumberFormat="1" applyFont="1" applyFill="1" applyBorder="1" applyAlignment="1">
      <alignment horizontal="center" vertical="center"/>
    </xf>
    <xf numFmtId="1" fontId="18" fillId="20" borderId="41" xfId="7" applyNumberFormat="1" applyFont="1" applyFill="1" applyBorder="1" applyAlignment="1">
      <alignment vertical="center"/>
    </xf>
    <xf numFmtId="1" fontId="34" fillId="28" borderId="50" xfId="6" applyNumberFormat="1" applyFont="1" applyFill="1" applyBorder="1" applyAlignment="1">
      <alignment vertical="center"/>
    </xf>
    <xf numFmtId="0" fontId="32" fillId="28" borderId="9" xfId="4" applyFont="1" applyFill="1" applyBorder="1" applyAlignment="1">
      <alignment horizontal="center"/>
    </xf>
    <xf numFmtId="1" fontId="34" fillId="28" borderId="93" xfId="6" applyNumberFormat="1" applyFont="1" applyFill="1" applyBorder="1" applyAlignment="1">
      <alignment vertical="center"/>
    </xf>
    <xf numFmtId="0" fontId="32" fillId="28" borderId="12" xfId="4" applyFont="1" applyFill="1" applyBorder="1" applyAlignment="1">
      <alignment horizontal="center"/>
    </xf>
    <xf numFmtId="1" fontId="34" fillId="28" borderId="56" xfId="6" applyNumberFormat="1" applyFont="1" applyFill="1" applyBorder="1" applyAlignment="1">
      <alignment vertical="center"/>
    </xf>
    <xf numFmtId="0" fontId="32" fillId="28" borderId="15" xfId="4" applyFont="1" applyFill="1" applyBorder="1" applyAlignment="1">
      <alignment horizontal="center"/>
    </xf>
    <xf numFmtId="1" fontId="34" fillId="28" borderId="38" xfId="6" applyNumberFormat="1" applyFont="1" applyFill="1" applyBorder="1" applyAlignment="1">
      <alignment vertical="center"/>
    </xf>
    <xf numFmtId="1" fontId="34" fillId="28" borderId="26" xfId="6" applyNumberFormat="1" applyFont="1" applyFill="1" applyBorder="1" applyAlignment="1">
      <alignment vertical="center"/>
    </xf>
    <xf numFmtId="1" fontId="34" fillId="28" borderId="40" xfId="6" applyNumberFormat="1" applyFont="1" applyFill="1" applyBorder="1" applyAlignment="1">
      <alignment vertical="center"/>
    </xf>
    <xf numFmtId="0" fontId="9" fillId="20" borderId="35" xfId="4" applyFont="1" applyFill="1" applyBorder="1" applyAlignment="1">
      <alignment horizontal="center" vertical="justify"/>
    </xf>
    <xf numFmtId="0" fontId="17" fillId="20" borderId="4" xfId="4" applyFont="1" applyFill="1" applyBorder="1" applyAlignment="1">
      <alignment horizontal="center" vertical="center"/>
    </xf>
    <xf numFmtId="0" fontId="32" fillId="20" borderId="45" xfId="4" applyFont="1" applyFill="1" applyBorder="1" applyAlignment="1">
      <alignment horizontal="center" vertical="center"/>
    </xf>
    <xf numFmtId="1" fontId="33" fillId="20" borderId="42" xfId="6" applyNumberFormat="1" applyFont="1" applyFill="1" applyBorder="1" applyAlignment="1">
      <alignment vertical="center"/>
    </xf>
    <xf numFmtId="1" fontId="33" fillId="20" borderId="36" xfId="6" applyNumberFormat="1" applyFont="1" applyFill="1" applyBorder="1" applyAlignment="1">
      <alignment vertical="center"/>
    </xf>
    <xf numFmtId="0" fontId="11" fillId="20" borderId="45" xfId="4" applyFont="1" applyFill="1" applyBorder="1" applyAlignment="1">
      <alignment horizontal="center" vertical="center" readingOrder="2"/>
    </xf>
    <xf numFmtId="0" fontId="9" fillId="0" borderId="0" xfId="5" applyFont="1" applyBorder="1" applyAlignment="1">
      <alignment horizontal="right" vertical="center"/>
    </xf>
    <xf numFmtId="0" fontId="11" fillId="20" borderId="35" xfId="8" applyFont="1" applyFill="1" applyBorder="1" applyAlignment="1">
      <alignment horizontal="center" vertical="center"/>
    </xf>
    <xf numFmtId="0" fontId="11" fillId="20" borderId="36" xfId="8" applyFont="1" applyFill="1" applyBorder="1" applyAlignment="1">
      <alignment horizontal="center" vertical="center" wrapText="1"/>
    </xf>
    <xf numFmtId="0" fontId="82" fillId="20" borderId="35" xfId="8" applyFont="1" applyFill="1" applyBorder="1" applyAlignment="1">
      <alignment horizontal="center" vertical="center"/>
    </xf>
    <xf numFmtId="0" fontId="82" fillId="20" borderId="36" xfId="8" applyFont="1" applyFill="1" applyBorder="1" applyAlignment="1">
      <alignment horizontal="center" vertical="center"/>
    </xf>
    <xf numFmtId="0" fontId="82" fillId="20" borderId="42" xfId="8" applyFont="1" applyFill="1" applyBorder="1" applyAlignment="1">
      <alignment horizontal="center" vertical="center"/>
    </xf>
    <xf numFmtId="0" fontId="82" fillId="20" borderId="47" xfId="8" applyFont="1" applyFill="1" applyBorder="1" applyAlignment="1">
      <alignment horizontal="center" vertical="center"/>
    </xf>
    <xf numFmtId="0" fontId="82" fillId="20" borderId="68" xfId="8" applyFont="1" applyFill="1" applyBorder="1" applyAlignment="1">
      <alignment horizontal="center" vertical="center"/>
    </xf>
    <xf numFmtId="3" fontId="77" fillId="33" borderId="0" xfId="1" applyNumberFormat="1" applyFont="1" applyFill="1"/>
    <xf numFmtId="3" fontId="9" fillId="33" borderId="0" xfId="1" applyNumberFormat="1" applyFont="1" applyFill="1"/>
    <xf numFmtId="0" fontId="12" fillId="20" borderId="42" xfId="8" applyFont="1" applyFill="1" applyBorder="1" applyAlignment="1">
      <alignment horizontal="center" vertical="center"/>
    </xf>
    <xf numFmtId="3" fontId="32" fillId="0" borderId="38" xfId="4" applyNumberFormat="1" applyFont="1" applyBorder="1" applyAlignment="1">
      <alignment horizontal="center" vertical="center"/>
    </xf>
    <xf numFmtId="3" fontId="32" fillId="0" borderId="11" xfId="4" applyNumberFormat="1" applyFont="1" applyBorder="1" applyAlignment="1">
      <alignment horizontal="center" vertical="center"/>
    </xf>
    <xf numFmtId="3" fontId="32" fillId="0" borderId="95" xfId="4" applyNumberFormat="1" applyFont="1" applyBorder="1" applyAlignment="1">
      <alignment horizontal="center" vertical="center"/>
    </xf>
    <xf numFmtId="0" fontId="32" fillId="0" borderId="12" xfId="1" applyFont="1" applyBorder="1" applyAlignment="1">
      <alignment horizontal="center" vertical="center"/>
    </xf>
    <xf numFmtId="0" fontId="32" fillId="0" borderId="15" xfId="1" applyFont="1" applyBorder="1" applyAlignment="1">
      <alignment horizontal="center" vertical="center"/>
    </xf>
    <xf numFmtId="3" fontId="54" fillId="20" borderId="35" xfId="8" applyNumberFormat="1" applyFont="1" applyFill="1" applyBorder="1" applyAlignment="1">
      <alignment horizontal="center" vertical="center"/>
    </xf>
    <xf numFmtId="3" fontId="54" fillId="20" borderId="48" xfId="8" applyNumberFormat="1" applyFont="1" applyFill="1" applyBorder="1" applyAlignment="1">
      <alignment horizontal="center" vertical="center"/>
    </xf>
    <xf numFmtId="3" fontId="54" fillId="20" borderId="36" xfId="8" applyNumberFormat="1" applyFont="1" applyFill="1" applyBorder="1" applyAlignment="1">
      <alignment horizontal="center" vertical="center"/>
    </xf>
    <xf numFmtId="3" fontId="55" fillId="20" borderId="68" xfId="8" applyNumberFormat="1" applyFont="1" applyFill="1" applyBorder="1" applyAlignment="1">
      <alignment horizontal="center" vertical="center"/>
    </xf>
    <xf numFmtId="3" fontId="55" fillId="20" borderId="48" xfId="8" applyNumberFormat="1" applyFont="1" applyFill="1" applyBorder="1" applyAlignment="1">
      <alignment horizontal="center" vertical="center"/>
    </xf>
    <xf numFmtId="3" fontId="55" fillId="20" borderId="36" xfId="8" applyNumberFormat="1" applyFont="1" applyFill="1" applyBorder="1" applyAlignment="1">
      <alignment horizontal="center" vertical="center"/>
    </xf>
    <xf numFmtId="0" fontId="57" fillId="34" borderId="25" xfId="12" applyFont="1" applyFill="1" applyBorder="1" applyAlignment="1">
      <alignment horizontal="center"/>
    </xf>
    <xf numFmtId="0" fontId="58" fillId="35" borderId="25" xfId="12" applyFont="1" applyFill="1" applyBorder="1" applyAlignment="1">
      <alignment horizontal="center"/>
    </xf>
    <xf numFmtId="0" fontId="56" fillId="34" borderId="25" xfId="12" applyFont="1" applyFill="1" applyBorder="1" applyAlignment="1">
      <alignment horizontal="center"/>
    </xf>
    <xf numFmtId="170" fontId="43" fillId="0" borderId="0" xfId="1" applyNumberFormat="1" applyFont="1" applyAlignment="1">
      <alignment vertical="center"/>
    </xf>
    <xf numFmtId="3" fontId="35" fillId="2" borderId="92" xfId="1" applyNumberFormat="1" applyFont="1" applyFill="1" applyBorder="1" applyAlignment="1">
      <alignment horizontal="center" vertical="center"/>
    </xf>
    <xf numFmtId="3" fontId="35" fillId="2" borderId="92" xfId="13" applyNumberFormat="1" applyFont="1" applyFill="1" applyBorder="1" applyAlignment="1">
      <alignment horizontal="center" vertical="center"/>
    </xf>
    <xf numFmtId="3" fontId="35" fillId="2" borderId="27" xfId="1" applyNumberFormat="1" applyFont="1" applyFill="1" applyBorder="1" applyAlignment="1">
      <alignment horizontal="center" vertical="center"/>
    </xf>
    <xf numFmtId="3" fontId="35" fillId="2" borderId="27" xfId="13" applyNumberFormat="1" applyFont="1" applyFill="1" applyBorder="1" applyAlignment="1">
      <alignment horizontal="center" vertical="center"/>
    </xf>
    <xf numFmtId="0" fontId="40" fillId="2" borderId="76" xfId="1" applyFont="1" applyFill="1" applyBorder="1" applyAlignment="1">
      <alignment horizontal="center" vertical="center"/>
    </xf>
    <xf numFmtId="0" fontId="40" fillId="2" borderId="12" xfId="1" applyFont="1" applyFill="1" applyBorder="1" applyAlignment="1">
      <alignment horizontal="center" vertical="center"/>
    </xf>
    <xf numFmtId="0" fontId="40" fillId="2" borderId="12" xfId="1" applyFont="1" applyFill="1" applyBorder="1" applyAlignment="1">
      <alignment horizontal="center" vertical="center" wrapText="1"/>
    </xf>
    <xf numFmtId="0" fontId="40" fillId="2" borderId="15" xfId="1" applyFont="1" applyFill="1" applyBorder="1" applyAlignment="1">
      <alignment horizontal="center" vertical="center"/>
    </xf>
    <xf numFmtId="0" fontId="11" fillId="20" borderId="44" xfId="1" applyFont="1" applyFill="1" applyBorder="1" applyAlignment="1">
      <alignment horizontal="center" vertical="center" textRotation="90"/>
    </xf>
    <xf numFmtId="0" fontId="11" fillId="20" borderId="45" xfId="1" applyFont="1" applyFill="1" applyBorder="1" applyAlignment="1">
      <alignment horizontal="center" vertical="center" textRotation="90"/>
    </xf>
    <xf numFmtId="0" fontId="12" fillId="20" borderId="36" xfId="1" applyFont="1" applyFill="1" applyBorder="1" applyAlignment="1">
      <alignment horizontal="center" vertical="center"/>
    </xf>
    <xf numFmtId="0" fontId="43" fillId="20" borderId="45" xfId="1" applyFont="1" applyFill="1" applyBorder="1" applyAlignment="1">
      <alignment horizontal="center" vertical="center"/>
    </xf>
    <xf numFmtId="1" fontId="32" fillId="2" borderId="72" xfId="1" applyNumberFormat="1" applyFont="1" applyFill="1" applyBorder="1" applyAlignment="1">
      <alignment horizontal="center" vertical="center" readingOrder="2"/>
    </xf>
    <xf numFmtId="1" fontId="32" fillId="2" borderId="38" xfId="1" applyNumberFormat="1" applyFont="1" applyFill="1" applyBorder="1" applyAlignment="1">
      <alignment horizontal="center" vertical="center"/>
    </xf>
    <xf numFmtId="1" fontId="32" fillId="2" borderId="26" xfId="1" applyNumberFormat="1" applyFont="1" applyFill="1" applyBorder="1" applyAlignment="1">
      <alignment horizontal="center" vertical="center"/>
    </xf>
    <xf numFmtId="1" fontId="32" fillId="2" borderId="27" xfId="14" applyNumberFormat="1" applyFont="1" applyFill="1" applyBorder="1" applyAlignment="1">
      <alignment horizontal="center" vertical="center"/>
    </xf>
    <xf numFmtId="1" fontId="32" fillId="2" borderId="92" xfId="14" applyNumberFormat="1" applyFont="1" applyFill="1" applyBorder="1" applyAlignment="1">
      <alignment horizontal="center" vertical="center"/>
    </xf>
    <xf numFmtId="3" fontId="32" fillId="2" borderId="26" xfId="22" applyNumberFormat="1" applyFont="1" applyFill="1" applyBorder="1" applyAlignment="1">
      <alignment horizontal="center" vertical="center"/>
    </xf>
    <xf numFmtId="1" fontId="32" fillId="2" borderId="0" xfId="14" applyNumberFormat="1" applyFont="1" applyFill="1" applyBorder="1" applyAlignment="1">
      <alignment horizontal="center" vertical="center"/>
    </xf>
    <xf numFmtId="3" fontId="35" fillId="2" borderId="26" xfId="1" applyNumberFormat="1" applyFont="1" applyFill="1" applyBorder="1" applyAlignment="1">
      <alignment horizontal="center" vertical="center"/>
    </xf>
    <xf numFmtId="1" fontId="35" fillId="2" borderId="27" xfId="1" applyNumberFormat="1" applyFont="1" applyFill="1" applyBorder="1" applyAlignment="1">
      <alignment horizontal="center" vertical="center"/>
    </xf>
    <xf numFmtId="1" fontId="35" fillId="2" borderId="92" xfId="1" applyNumberFormat="1" applyFont="1" applyFill="1" applyBorder="1" applyAlignment="1">
      <alignment horizontal="center" vertical="center"/>
    </xf>
    <xf numFmtId="3" fontId="32" fillId="2" borderId="32" xfId="1" applyNumberFormat="1" applyFont="1" applyFill="1" applyBorder="1" applyAlignment="1">
      <alignment horizontal="center" vertical="center"/>
    </xf>
    <xf numFmtId="3" fontId="32" fillId="20" borderId="68" xfId="1" applyNumberFormat="1" applyFont="1" applyFill="1" applyBorder="1" applyAlignment="1">
      <alignment horizontal="center" vertical="center" readingOrder="2"/>
    </xf>
    <xf numFmtId="3" fontId="32" fillId="20" borderId="35" xfId="1" applyNumberFormat="1" applyFont="1" applyFill="1" applyBorder="1" applyAlignment="1">
      <alignment horizontal="center" vertical="center" readingOrder="2"/>
    </xf>
    <xf numFmtId="3" fontId="32" fillId="20" borderId="48" xfId="1" applyNumberFormat="1" applyFont="1" applyFill="1" applyBorder="1" applyAlignment="1">
      <alignment horizontal="center" vertical="center" readingOrder="2"/>
    </xf>
    <xf numFmtId="3" fontId="32" fillId="20" borderId="36" xfId="1" applyNumberFormat="1" applyFont="1" applyFill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40" fillId="20" borderId="40" xfId="22" applyFont="1" applyFill="1" applyBorder="1" applyAlignment="1">
      <alignment horizontal="center" vertical="center" textRotation="90"/>
    </xf>
    <xf numFmtId="0" fontId="9" fillId="0" borderId="0" xfId="22" applyFont="1" applyFill="1" applyAlignment="1">
      <alignment horizontal="center"/>
    </xf>
    <xf numFmtId="0" fontId="40" fillId="0" borderId="0" xfId="22" applyFont="1" applyFill="1" applyBorder="1" applyAlignment="1">
      <alignment horizontal="right" vertical="center"/>
    </xf>
    <xf numFmtId="0" fontId="40" fillId="20" borderId="60" xfId="22" applyFont="1" applyFill="1" applyBorder="1" applyAlignment="1">
      <alignment horizontal="center" vertical="center" textRotation="90"/>
    </xf>
    <xf numFmtId="0" fontId="40" fillId="20" borderId="54" xfId="22" applyFont="1" applyFill="1" applyBorder="1" applyAlignment="1">
      <alignment horizontal="center" vertical="center" textRotation="90"/>
    </xf>
    <xf numFmtId="0" fontId="40" fillId="0" borderId="5" xfId="22" applyFont="1" applyFill="1" applyBorder="1" applyAlignment="1">
      <alignment horizontal="center" vertical="center"/>
    </xf>
    <xf numFmtId="0" fontId="40" fillId="0" borderId="5" xfId="22" applyFont="1" applyFill="1" applyBorder="1" applyAlignment="1">
      <alignment horizontal="center" vertical="center" wrapText="1"/>
    </xf>
    <xf numFmtId="0" fontId="40" fillId="20" borderId="59" xfId="22" applyFont="1" applyFill="1" applyBorder="1" applyAlignment="1">
      <alignment horizontal="center" vertical="center" textRotation="90"/>
    </xf>
    <xf numFmtId="0" fontId="21" fillId="2" borderId="49" xfId="4" applyFont="1" applyFill="1" applyBorder="1" applyAlignment="1">
      <alignment horizontal="center" vertical="center"/>
    </xf>
    <xf numFmtId="0" fontId="21" fillId="2" borderId="49" xfId="1" applyFont="1" applyFill="1" applyBorder="1" applyAlignment="1">
      <alignment horizontal="center" vertical="center"/>
    </xf>
    <xf numFmtId="1" fontId="21" fillId="2" borderId="72" xfId="1" applyNumberFormat="1" applyFont="1" applyFill="1" applyBorder="1" applyAlignment="1">
      <alignment horizontal="center" vertical="center" readingOrder="2"/>
    </xf>
    <xf numFmtId="1" fontId="21" fillId="2" borderId="92" xfId="14" applyNumberFormat="1" applyFont="1" applyFill="1" applyBorder="1" applyAlignment="1">
      <alignment horizontal="center" vertical="center"/>
    </xf>
    <xf numFmtId="1" fontId="21" fillId="2" borderId="92" xfId="22" applyNumberFormat="1" applyFont="1" applyFill="1" applyBorder="1" applyAlignment="1">
      <alignment horizontal="center" vertical="center" readingOrder="2"/>
    </xf>
    <xf numFmtId="0" fontId="32" fillId="2" borderId="92" xfId="22" applyFont="1" applyFill="1" applyBorder="1" applyAlignment="1">
      <alignment horizontal="center" vertical="center"/>
    </xf>
    <xf numFmtId="0" fontId="40" fillId="20" borderId="60" xfId="22" applyFont="1" applyFill="1" applyBorder="1" applyAlignment="1">
      <alignment horizontal="center" vertical="center" textRotation="90"/>
    </xf>
    <xf numFmtId="0" fontId="40" fillId="20" borderId="47" xfId="22" applyFont="1" applyFill="1" applyBorder="1" applyAlignment="1">
      <alignment horizontal="center" vertical="center"/>
    </xf>
    <xf numFmtId="0" fontId="9" fillId="20" borderId="2" xfId="22" applyFont="1" applyFill="1" applyBorder="1" applyAlignment="1">
      <alignment horizontal="center" vertical="center"/>
    </xf>
    <xf numFmtId="0" fontId="66" fillId="20" borderId="3" xfId="22" applyFont="1" applyFill="1" applyBorder="1" applyAlignment="1">
      <alignment horizontal="center" vertical="center"/>
    </xf>
    <xf numFmtId="0" fontId="40" fillId="20" borderId="57" xfId="22" applyFont="1" applyFill="1" applyBorder="1" applyAlignment="1">
      <alignment horizontal="center" vertical="center"/>
    </xf>
    <xf numFmtId="0" fontId="9" fillId="20" borderId="17" xfId="22" applyFont="1" applyFill="1" applyBorder="1" applyAlignment="1">
      <alignment horizontal="center" vertical="center"/>
    </xf>
    <xf numFmtId="0" fontId="66" fillId="20" borderId="18" xfId="22" applyFont="1" applyFill="1" applyBorder="1" applyAlignment="1">
      <alignment horizontal="center" vertical="center"/>
    </xf>
    <xf numFmtId="0" fontId="75" fillId="20" borderId="17" xfId="22" applyFont="1" applyFill="1" applyBorder="1" applyAlignment="1">
      <alignment horizontal="center" vertical="center"/>
    </xf>
    <xf numFmtId="0" fontId="75" fillId="20" borderId="58" xfId="22" applyFont="1" applyFill="1" applyBorder="1" applyAlignment="1">
      <alignment horizontal="center" vertical="center"/>
    </xf>
    <xf numFmtId="0" fontId="75" fillId="20" borderId="59" xfId="22" applyFont="1" applyFill="1" applyBorder="1" applyAlignment="1">
      <alignment horizontal="center" vertical="center"/>
    </xf>
    <xf numFmtId="0" fontId="75" fillId="20" borderId="18" xfId="22" applyFont="1" applyFill="1" applyBorder="1" applyAlignment="1">
      <alignment horizontal="center" vertical="center"/>
    </xf>
    <xf numFmtId="0" fontId="75" fillId="20" borderId="43" xfId="22" applyFont="1" applyFill="1" applyBorder="1" applyAlignment="1">
      <alignment horizontal="center" vertical="center"/>
    </xf>
    <xf numFmtId="0" fontId="75" fillId="20" borderId="48" xfId="22" applyFont="1" applyFill="1" applyBorder="1" applyAlignment="1">
      <alignment horizontal="center" vertical="center"/>
    </xf>
    <xf numFmtId="0" fontId="75" fillId="20" borderId="41" xfId="22" applyFont="1" applyFill="1" applyBorder="1" applyAlignment="1">
      <alignment horizontal="center" vertical="center"/>
    </xf>
    <xf numFmtId="0" fontId="75" fillId="20" borderId="45" xfId="22" applyFont="1" applyFill="1" applyBorder="1" applyAlignment="1">
      <alignment horizontal="center" vertical="center"/>
    </xf>
    <xf numFmtId="0" fontId="9" fillId="20" borderId="3" xfId="22" applyFont="1" applyFill="1" applyBorder="1" applyAlignment="1">
      <alignment horizontal="center" vertical="center"/>
    </xf>
    <xf numFmtId="0" fontId="9" fillId="20" borderId="18" xfId="22" applyFont="1" applyFill="1" applyBorder="1" applyAlignment="1">
      <alignment horizontal="center" vertical="center"/>
    </xf>
    <xf numFmtId="0" fontId="75" fillId="20" borderId="1" xfId="22" applyFont="1" applyFill="1" applyBorder="1" applyAlignment="1">
      <alignment horizontal="right" vertical="center"/>
    </xf>
    <xf numFmtId="0" fontId="75" fillId="20" borderId="57" xfId="22" applyFont="1" applyFill="1" applyBorder="1" applyAlignment="1">
      <alignment horizontal="center" vertical="center"/>
    </xf>
    <xf numFmtId="0" fontId="9" fillId="20" borderId="2" xfId="22" applyFont="1" applyFill="1" applyBorder="1" applyAlignment="1">
      <alignment horizontal="right" vertical="center"/>
    </xf>
    <xf numFmtId="0" fontId="9" fillId="20" borderId="3" xfId="22" applyFont="1" applyFill="1" applyBorder="1" applyAlignment="1">
      <alignment horizontal="right" vertical="center"/>
    </xf>
    <xf numFmtId="0" fontId="66" fillId="20" borderId="20" xfId="22" applyFont="1" applyFill="1" applyBorder="1" applyAlignment="1">
      <alignment horizontal="center" vertical="center"/>
    </xf>
    <xf numFmtId="0" fontId="9" fillId="20" borderId="62" xfId="22" applyFont="1" applyFill="1" applyBorder="1" applyAlignment="1">
      <alignment horizontal="right" vertical="center"/>
    </xf>
    <xf numFmtId="0" fontId="9" fillId="20" borderId="47" xfId="22" applyFont="1" applyFill="1" applyBorder="1" applyAlignment="1">
      <alignment horizontal="right" vertical="center"/>
    </xf>
    <xf numFmtId="0" fontId="9" fillId="20" borderId="17" xfId="22" applyFont="1" applyFill="1" applyBorder="1" applyAlignment="1">
      <alignment horizontal="right" vertical="center"/>
    </xf>
    <xf numFmtId="0" fontId="9" fillId="20" borderId="18" xfId="22" applyFont="1" applyFill="1" applyBorder="1" applyAlignment="1">
      <alignment horizontal="right" vertical="center"/>
    </xf>
    <xf numFmtId="0" fontId="66" fillId="20" borderId="1" xfId="22" applyFont="1" applyFill="1" applyBorder="1" applyAlignment="1">
      <alignment horizontal="center" vertical="center"/>
    </xf>
    <xf numFmtId="0" fontId="9" fillId="20" borderId="63" xfId="22" applyFont="1" applyFill="1" applyBorder="1" applyAlignment="1">
      <alignment horizontal="right" vertical="center"/>
    </xf>
    <xf numFmtId="0" fontId="9" fillId="20" borderId="78" xfId="22" applyFont="1" applyFill="1" applyBorder="1" applyAlignment="1">
      <alignment horizontal="right" vertical="center"/>
    </xf>
    <xf numFmtId="0" fontId="9" fillId="20" borderId="57" xfId="22" applyFont="1" applyFill="1" applyBorder="1" applyAlignment="1">
      <alignment horizontal="right" vertical="center"/>
    </xf>
    <xf numFmtId="0" fontId="124" fillId="2" borderId="2" xfId="207" applyFont="1" applyFill="1" applyBorder="1" applyAlignment="1">
      <alignment horizontal="center" vertical="center" wrapText="1"/>
    </xf>
    <xf numFmtId="0" fontId="124" fillId="2" borderId="62" xfId="207" applyFont="1" applyFill="1" applyBorder="1" applyAlignment="1">
      <alignment horizontal="center" vertical="center" wrapText="1"/>
    </xf>
    <xf numFmtId="0" fontId="124" fillId="2" borderId="61" xfId="207" applyFont="1" applyFill="1" applyBorder="1" applyAlignment="1">
      <alignment horizontal="center" vertical="center" wrapText="1"/>
    </xf>
    <xf numFmtId="0" fontId="124" fillId="2" borderId="47" xfId="207" applyFont="1" applyFill="1" applyBorder="1" applyAlignment="1">
      <alignment horizontal="center" vertical="center" wrapText="1"/>
    </xf>
    <xf numFmtId="0" fontId="124" fillId="2" borderId="3" xfId="208" applyFont="1" applyFill="1" applyBorder="1" applyAlignment="1">
      <alignment horizontal="center" vertical="center" wrapText="1"/>
    </xf>
    <xf numFmtId="0" fontId="40" fillId="2" borderId="50" xfId="22" applyFont="1" applyFill="1" applyBorder="1" applyAlignment="1">
      <alignment horizontal="center" vertical="center"/>
    </xf>
    <xf numFmtId="0" fontId="124" fillId="2" borderId="65" xfId="207" applyFont="1" applyFill="1" applyBorder="1" applyAlignment="1">
      <alignment horizontal="center" vertical="center" wrapText="1"/>
    </xf>
    <xf numFmtId="0" fontId="124" fillId="2" borderId="50" xfId="207" applyFont="1" applyFill="1" applyBorder="1" applyAlignment="1">
      <alignment horizontal="center" vertical="center" wrapText="1"/>
    </xf>
    <xf numFmtId="0" fontId="124" fillId="2" borderId="49" xfId="207" applyFont="1" applyFill="1" applyBorder="1" applyAlignment="1">
      <alignment horizontal="center" vertical="center" wrapText="1"/>
    </xf>
    <xf numFmtId="0" fontId="124" fillId="2" borderId="38" xfId="207" applyFont="1" applyFill="1" applyBorder="1" applyAlignment="1">
      <alignment horizontal="center" vertical="center" wrapText="1"/>
    </xf>
    <xf numFmtId="0" fontId="124" fillId="2" borderId="76" xfId="208" applyFont="1" applyFill="1" applyBorder="1" applyAlignment="1">
      <alignment horizontal="center" vertical="center" wrapText="1"/>
    </xf>
    <xf numFmtId="0" fontId="40" fillId="2" borderId="63" xfId="22" applyFont="1" applyFill="1" applyBorder="1" applyAlignment="1">
      <alignment horizontal="center" vertical="center"/>
    </xf>
    <xf numFmtId="0" fontId="40" fillId="2" borderId="56" xfId="22" applyFont="1" applyFill="1" applyBorder="1" applyAlignment="1">
      <alignment horizontal="center" vertical="center"/>
    </xf>
    <xf numFmtId="0" fontId="124" fillId="2" borderId="97" xfId="209" applyFont="1" applyFill="1" applyBorder="1" applyAlignment="1">
      <alignment horizontal="center" vertical="center" wrapText="1"/>
    </xf>
    <xf numFmtId="0" fontId="124" fillId="2" borderId="98" xfId="209" applyFont="1" applyFill="1" applyBorder="1" applyAlignment="1">
      <alignment horizontal="center" vertical="center" wrapText="1"/>
    </xf>
    <xf numFmtId="0" fontId="124" fillId="2" borderId="99" xfId="209" applyFont="1" applyFill="1" applyBorder="1" applyAlignment="1">
      <alignment horizontal="center" vertical="center" wrapText="1"/>
    </xf>
    <xf numFmtId="0" fontId="124" fillId="2" borderId="100" xfId="209" applyFont="1" applyFill="1" applyBorder="1" applyAlignment="1">
      <alignment horizontal="center" vertical="center" wrapText="1"/>
    </xf>
    <xf numFmtId="0" fontId="124" fillId="2" borderId="101" xfId="209" applyFont="1" applyFill="1" applyBorder="1" applyAlignment="1">
      <alignment horizontal="center" vertical="center" wrapText="1"/>
    </xf>
    <xf numFmtId="0" fontId="124" fillId="2" borderId="102" xfId="209" applyFont="1" applyFill="1" applyBorder="1" applyAlignment="1">
      <alignment horizontal="center" vertical="center" wrapText="1"/>
    </xf>
    <xf numFmtId="0" fontId="124" fillId="2" borderId="103" xfId="209" applyFont="1" applyFill="1" applyBorder="1" applyAlignment="1">
      <alignment horizontal="center" vertical="center" wrapText="1"/>
    </xf>
    <xf numFmtId="0" fontId="124" fillId="2" borderId="104" xfId="209" applyFont="1" applyFill="1" applyBorder="1" applyAlignment="1">
      <alignment horizontal="center" vertical="center" wrapText="1"/>
    </xf>
    <xf numFmtId="0" fontId="124" fillId="2" borderId="97" xfId="210" applyFont="1" applyFill="1" applyBorder="1" applyAlignment="1">
      <alignment horizontal="center" vertical="center" wrapText="1"/>
    </xf>
    <xf numFmtId="0" fontId="124" fillId="2" borderId="98" xfId="210" applyFont="1" applyFill="1" applyBorder="1" applyAlignment="1">
      <alignment horizontal="center" vertical="center" wrapText="1"/>
    </xf>
    <xf numFmtId="0" fontId="124" fillId="2" borderId="99" xfId="210" applyFont="1" applyFill="1" applyBorder="1" applyAlignment="1">
      <alignment horizontal="center" vertical="center" wrapText="1"/>
    </xf>
    <xf numFmtId="0" fontId="124" fillId="2" borderId="100" xfId="210" applyFont="1" applyFill="1" applyBorder="1" applyAlignment="1">
      <alignment horizontal="center" vertical="center" wrapText="1"/>
    </xf>
    <xf numFmtId="0" fontId="124" fillId="2" borderId="101" xfId="210" applyFont="1" applyFill="1" applyBorder="1" applyAlignment="1">
      <alignment horizontal="center" vertical="center" wrapText="1"/>
    </xf>
    <xf numFmtId="0" fontId="124" fillId="2" borderId="102" xfId="210" applyFont="1" applyFill="1" applyBorder="1" applyAlignment="1">
      <alignment horizontal="center" vertical="center" wrapText="1"/>
    </xf>
    <xf numFmtId="0" fontId="124" fillId="2" borderId="103" xfId="210" applyFont="1" applyFill="1" applyBorder="1" applyAlignment="1">
      <alignment horizontal="center" vertical="center" wrapText="1"/>
    </xf>
    <xf numFmtId="0" fontId="124" fillId="2" borderId="104" xfId="210" applyFont="1" applyFill="1" applyBorder="1" applyAlignment="1">
      <alignment horizontal="center" vertical="center" wrapText="1"/>
    </xf>
    <xf numFmtId="0" fontId="124" fillId="2" borderId="97" xfId="211" applyFont="1" applyFill="1" applyBorder="1" applyAlignment="1">
      <alignment horizontal="center" vertical="center" wrapText="1"/>
    </xf>
    <xf numFmtId="0" fontId="124" fillId="2" borderId="98" xfId="211" applyFont="1" applyFill="1" applyBorder="1" applyAlignment="1">
      <alignment horizontal="center" vertical="center" wrapText="1"/>
    </xf>
    <xf numFmtId="0" fontId="124" fillId="2" borderId="99" xfId="211" applyFont="1" applyFill="1" applyBorder="1" applyAlignment="1">
      <alignment horizontal="center" vertical="center" wrapText="1"/>
    </xf>
    <xf numFmtId="0" fontId="124" fillId="2" borderId="100" xfId="211" applyFont="1" applyFill="1" applyBorder="1" applyAlignment="1">
      <alignment horizontal="center" vertical="center" wrapText="1"/>
    </xf>
    <xf numFmtId="0" fontId="124" fillId="2" borderId="101" xfId="211" applyFont="1" applyFill="1" applyBorder="1" applyAlignment="1">
      <alignment horizontal="center" vertical="center" wrapText="1"/>
    </xf>
    <xf numFmtId="0" fontId="124" fillId="2" borderId="102" xfId="211" applyFont="1" applyFill="1" applyBorder="1" applyAlignment="1">
      <alignment horizontal="center" vertical="center" wrapText="1"/>
    </xf>
    <xf numFmtId="0" fontId="124" fillId="2" borderId="103" xfId="211" applyFont="1" applyFill="1" applyBorder="1" applyAlignment="1">
      <alignment horizontal="center" vertical="center" wrapText="1"/>
    </xf>
    <xf numFmtId="0" fontId="124" fillId="2" borderId="104" xfId="211" applyFont="1" applyFill="1" applyBorder="1" applyAlignment="1">
      <alignment horizontal="center" vertical="center" wrapText="1"/>
    </xf>
    <xf numFmtId="0" fontId="124" fillId="2" borderId="97" xfId="212" applyFont="1" applyFill="1" applyBorder="1" applyAlignment="1">
      <alignment horizontal="center" vertical="center" wrapText="1"/>
    </xf>
    <xf numFmtId="0" fontId="124" fillId="2" borderId="98" xfId="212" applyFont="1" applyFill="1" applyBorder="1" applyAlignment="1">
      <alignment horizontal="center" vertical="center" wrapText="1"/>
    </xf>
    <xf numFmtId="0" fontId="124" fillId="2" borderId="99" xfId="212" applyFont="1" applyFill="1" applyBorder="1" applyAlignment="1">
      <alignment horizontal="center" vertical="center" wrapText="1"/>
    </xf>
    <xf numFmtId="0" fontId="124" fillId="2" borderId="100" xfId="212" applyFont="1" applyFill="1" applyBorder="1" applyAlignment="1">
      <alignment horizontal="center" vertical="center" wrapText="1"/>
    </xf>
    <xf numFmtId="0" fontId="124" fillId="2" borderId="101" xfId="212" applyFont="1" applyFill="1" applyBorder="1" applyAlignment="1">
      <alignment horizontal="center" vertical="center" wrapText="1"/>
    </xf>
    <xf numFmtId="0" fontId="124" fillId="2" borderId="102" xfId="212" applyFont="1" applyFill="1" applyBorder="1" applyAlignment="1">
      <alignment horizontal="center" vertical="center" wrapText="1"/>
    </xf>
    <xf numFmtId="0" fontId="124" fillId="2" borderId="103" xfId="212" applyFont="1" applyFill="1" applyBorder="1" applyAlignment="1">
      <alignment horizontal="center" vertical="center" wrapText="1"/>
    </xf>
    <xf numFmtId="0" fontId="124" fillId="2" borderId="104" xfId="212" applyFont="1" applyFill="1" applyBorder="1" applyAlignment="1">
      <alignment horizontal="center" vertical="center" wrapText="1"/>
    </xf>
    <xf numFmtId="0" fontId="124" fillId="2" borderId="97" xfId="213" applyFont="1" applyFill="1" applyBorder="1" applyAlignment="1">
      <alignment horizontal="center" vertical="center" wrapText="1"/>
    </xf>
    <xf numFmtId="0" fontId="124" fillId="2" borderId="98" xfId="213" applyFont="1" applyFill="1" applyBorder="1" applyAlignment="1">
      <alignment horizontal="center" vertical="center" wrapText="1"/>
    </xf>
    <xf numFmtId="0" fontId="124" fillId="2" borderId="99" xfId="213" applyFont="1" applyFill="1" applyBorder="1" applyAlignment="1">
      <alignment horizontal="center" vertical="center" wrapText="1"/>
    </xf>
    <xf numFmtId="0" fontId="124" fillId="2" borderId="100" xfId="213" applyFont="1" applyFill="1" applyBorder="1" applyAlignment="1">
      <alignment horizontal="center" vertical="center" wrapText="1"/>
    </xf>
    <xf numFmtId="0" fontId="124" fillId="2" borderId="101" xfId="213" applyFont="1" applyFill="1" applyBorder="1" applyAlignment="1">
      <alignment horizontal="center" vertical="center" wrapText="1"/>
    </xf>
    <xf numFmtId="0" fontId="124" fillId="2" borderId="102" xfId="213" applyFont="1" applyFill="1" applyBorder="1" applyAlignment="1">
      <alignment horizontal="center" vertical="center" wrapText="1"/>
    </xf>
    <xf numFmtId="0" fontId="124" fillId="2" borderId="103" xfId="213" applyFont="1" applyFill="1" applyBorder="1" applyAlignment="1">
      <alignment horizontal="center" vertical="center" wrapText="1"/>
    </xf>
    <xf numFmtId="0" fontId="124" fillId="2" borderId="104" xfId="213" applyFont="1" applyFill="1" applyBorder="1" applyAlignment="1">
      <alignment horizontal="center" vertical="center" wrapText="1"/>
    </xf>
    <xf numFmtId="0" fontId="124" fillId="2" borderId="97" xfId="214" applyFont="1" applyFill="1" applyBorder="1" applyAlignment="1">
      <alignment horizontal="center" vertical="center" wrapText="1"/>
    </xf>
    <xf numFmtId="0" fontId="124" fillId="2" borderId="98" xfId="214" applyFont="1" applyFill="1" applyBorder="1" applyAlignment="1">
      <alignment horizontal="center" vertical="center" wrapText="1"/>
    </xf>
    <xf numFmtId="0" fontId="124" fillId="2" borderId="99" xfId="214" applyFont="1" applyFill="1" applyBorder="1" applyAlignment="1">
      <alignment horizontal="center" vertical="center" wrapText="1"/>
    </xf>
    <xf numFmtId="0" fontId="124" fillId="2" borderId="100" xfId="214" applyFont="1" applyFill="1" applyBorder="1" applyAlignment="1">
      <alignment horizontal="center" vertical="center" wrapText="1"/>
    </xf>
    <xf numFmtId="0" fontId="124" fillId="2" borderId="101" xfId="214" applyFont="1" applyFill="1" applyBorder="1" applyAlignment="1">
      <alignment horizontal="center" vertical="center" wrapText="1"/>
    </xf>
    <xf numFmtId="0" fontId="124" fillId="2" borderId="102" xfId="214" applyFont="1" applyFill="1" applyBorder="1" applyAlignment="1">
      <alignment horizontal="center" vertical="center" wrapText="1"/>
    </xf>
    <xf numFmtId="0" fontId="124" fillId="2" borderId="103" xfId="214" applyFont="1" applyFill="1" applyBorder="1" applyAlignment="1">
      <alignment horizontal="center" vertical="center" wrapText="1"/>
    </xf>
    <xf numFmtId="0" fontId="124" fillId="2" borderId="104" xfId="214" applyFont="1" applyFill="1" applyBorder="1" applyAlignment="1">
      <alignment horizontal="center" vertical="center" wrapText="1"/>
    </xf>
    <xf numFmtId="0" fontId="124" fillId="2" borderId="97" xfId="215" applyFont="1" applyFill="1" applyBorder="1" applyAlignment="1">
      <alignment horizontal="center" vertical="center" wrapText="1"/>
    </xf>
    <xf numFmtId="0" fontId="124" fillId="2" borderId="98" xfId="215" applyFont="1" applyFill="1" applyBorder="1" applyAlignment="1">
      <alignment horizontal="center" vertical="center" wrapText="1"/>
    </xf>
    <xf numFmtId="0" fontId="124" fillId="2" borderId="99" xfId="215" applyFont="1" applyFill="1" applyBorder="1" applyAlignment="1">
      <alignment horizontal="center" vertical="center" wrapText="1"/>
    </xf>
    <xf numFmtId="0" fontId="124" fillId="2" borderId="100" xfId="215" applyFont="1" applyFill="1" applyBorder="1" applyAlignment="1">
      <alignment horizontal="center" vertical="center" wrapText="1"/>
    </xf>
    <xf numFmtId="0" fontId="124" fillId="2" borderId="101" xfId="215" applyFont="1" applyFill="1" applyBorder="1" applyAlignment="1">
      <alignment horizontal="center" vertical="center" wrapText="1"/>
    </xf>
    <xf numFmtId="0" fontId="124" fillId="2" borderId="102" xfId="215" applyFont="1" applyFill="1" applyBorder="1" applyAlignment="1">
      <alignment horizontal="center" vertical="center" wrapText="1"/>
    </xf>
    <xf numFmtId="0" fontId="124" fillId="2" borderId="103" xfId="215" applyFont="1" applyFill="1" applyBorder="1" applyAlignment="1">
      <alignment horizontal="center" vertical="center" wrapText="1"/>
    </xf>
    <xf numFmtId="0" fontId="124" fillId="2" borderId="104" xfId="215" applyFont="1" applyFill="1" applyBorder="1" applyAlignment="1">
      <alignment horizontal="center" vertical="center" wrapText="1"/>
    </xf>
    <xf numFmtId="0" fontId="124" fillId="2" borderId="97" xfId="216" applyFont="1" applyFill="1" applyBorder="1" applyAlignment="1">
      <alignment horizontal="center" vertical="center" wrapText="1"/>
    </xf>
    <xf numFmtId="0" fontId="124" fillId="2" borderId="98" xfId="216" applyFont="1" applyFill="1" applyBorder="1" applyAlignment="1">
      <alignment horizontal="center" vertical="center" wrapText="1"/>
    </xf>
    <xf numFmtId="0" fontId="124" fillId="2" borderId="99" xfId="216" applyFont="1" applyFill="1" applyBorder="1" applyAlignment="1">
      <alignment horizontal="center" vertical="center" wrapText="1"/>
    </xf>
    <xf numFmtId="0" fontId="124" fillId="2" borderId="100" xfId="216" applyFont="1" applyFill="1" applyBorder="1" applyAlignment="1">
      <alignment horizontal="center" vertical="center" wrapText="1"/>
    </xf>
    <xf numFmtId="0" fontId="124" fillId="2" borderId="101" xfId="216" applyFont="1" applyFill="1" applyBorder="1" applyAlignment="1">
      <alignment horizontal="center" vertical="center" wrapText="1"/>
    </xf>
    <xf numFmtId="0" fontId="124" fillId="2" borderId="102" xfId="216" applyFont="1" applyFill="1" applyBorder="1" applyAlignment="1">
      <alignment horizontal="center" vertical="center" wrapText="1"/>
    </xf>
    <xf numFmtId="0" fontId="124" fillId="2" borderId="103" xfId="216" applyFont="1" applyFill="1" applyBorder="1" applyAlignment="1">
      <alignment horizontal="center" vertical="center" wrapText="1"/>
    </xf>
    <xf numFmtId="0" fontId="124" fillId="2" borderId="104" xfId="216" applyFont="1" applyFill="1" applyBorder="1" applyAlignment="1">
      <alignment horizontal="center" vertical="center" wrapText="1"/>
    </xf>
    <xf numFmtId="0" fontId="124" fillId="2" borderId="97" xfId="217" applyFont="1" applyFill="1" applyBorder="1" applyAlignment="1">
      <alignment horizontal="center" vertical="center" wrapText="1"/>
    </xf>
    <xf numFmtId="0" fontId="124" fillId="2" borderId="98" xfId="217" applyFont="1" applyFill="1" applyBorder="1" applyAlignment="1">
      <alignment horizontal="center" vertical="center" wrapText="1"/>
    </xf>
    <xf numFmtId="0" fontId="124" fillId="2" borderId="99" xfId="217" applyFont="1" applyFill="1" applyBorder="1" applyAlignment="1">
      <alignment horizontal="center" vertical="center" wrapText="1"/>
    </xf>
    <xf numFmtId="0" fontId="124" fillId="2" borderId="100" xfId="217" applyFont="1" applyFill="1" applyBorder="1" applyAlignment="1">
      <alignment horizontal="center" vertical="center" wrapText="1"/>
    </xf>
    <xf numFmtId="0" fontId="124" fillId="2" borderId="101" xfId="217" applyFont="1" applyFill="1" applyBorder="1" applyAlignment="1">
      <alignment horizontal="center" vertical="center" wrapText="1"/>
    </xf>
    <xf numFmtId="0" fontId="124" fillId="2" borderId="102" xfId="217" applyFont="1" applyFill="1" applyBorder="1" applyAlignment="1">
      <alignment horizontal="center" vertical="center" wrapText="1"/>
    </xf>
    <xf numFmtId="0" fontId="124" fillId="2" borderId="103" xfId="217" applyFont="1" applyFill="1" applyBorder="1" applyAlignment="1">
      <alignment horizontal="center" vertical="center" wrapText="1"/>
    </xf>
    <xf numFmtId="0" fontId="124" fillId="2" borderId="104" xfId="217" applyFont="1" applyFill="1" applyBorder="1" applyAlignment="1">
      <alignment horizontal="center" vertical="center" wrapText="1"/>
    </xf>
    <xf numFmtId="0" fontId="124" fillId="2" borderId="97" xfId="218" applyFont="1" applyFill="1" applyBorder="1" applyAlignment="1">
      <alignment horizontal="center" vertical="center" wrapText="1"/>
    </xf>
    <xf numFmtId="0" fontId="124" fillId="2" borderId="98" xfId="218" applyFont="1" applyFill="1" applyBorder="1" applyAlignment="1">
      <alignment horizontal="center" vertical="center" wrapText="1"/>
    </xf>
    <xf numFmtId="0" fontId="124" fillId="2" borderId="99" xfId="218" applyFont="1" applyFill="1" applyBorder="1" applyAlignment="1">
      <alignment horizontal="center" vertical="center" wrapText="1"/>
    </xf>
    <xf numFmtId="0" fontId="124" fillId="2" borderId="100" xfId="218" applyFont="1" applyFill="1" applyBorder="1" applyAlignment="1">
      <alignment horizontal="center" vertical="center" wrapText="1"/>
    </xf>
    <xf numFmtId="0" fontId="40" fillId="2" borderId="59" xfId="22" applyFont="1" applyFill="1" applyBorder="1" applyAlignment="1">
      <alignment horizontal="center" vertical="center"/>
    </xf>
    <xf numFmtId="0" fontId="124" fillId="2" borderId="17" xfId="218" applyFont="1" applyFill="1" applyBorder="1" applyAlignment="1">
      <alignment horizontal="center" vertical="center" wrapText="1"/>
    </xf>
    <xf numFmtId="0" fontId="124" fillId="2" borderId="105" xfId="218" applyFont="1" applyFill="1" applyBorder="1" applyAlignment="1">
      <alignment horizontal="center" vertical="center" wrapText="1"/>
    </xf>
    <xf numFmtId="0" fontId="124" fillId="2" borderId="106" xfId="218" applyFont="1" applyFill="1" applyBorder="1" applyAlignment="1">
      <alignment horizontal="center" vertical="center" wrapText="1"/>
    </xf>
    <xf numFmtId="0" fontId="124" fillId="2" borderId="107" xfId="218" applyFont="1" applyFill="1" applyBorder="1" applyAlignment="1">
      <alignment horizontal="center" vertical="center" wrapText="1"/>
    </xf>
    <xf numFmtId="0" fontId="40" fillId="2" borderId="69" xfId="22" applyFont="1" applyFill="1" applyBorder="1" applyAlignment="1">
      <alignment horizontal="center" vertical="center"/>
    </xf>
    <xf numFmtId="0" fontId="124" fillId="2" borderId="108" xfId="219" applyFont="1" applyFill="1" applyBorder="1" applyAlignment="1">
      <alignment horizontal="center" vertical="center" wrapText="1"/>
    </xf>
    <xf numFmtId="0" fontId="124" fillId="2" borderId="109" xfId="219" applyFont="1" applyFill="1" applyBorder="1" applyAlignment="1">
      <alignment horizontal="center" vertical="center" wrapText="1"/>
    </xf>
    <xf numFmtId="0" fontId="124" fillId="2" borderId="102" xfId="219" applyFont="1" applyFill="1" applyBorder="1" applyAlignment="1">
      <alignment horizontal="center" vertical="center" wrapText="1"/>
    </xf>
    <xf numFmtId="0" fontId="124" fillId="2" borderId="103" xfId="219" applyFont="1" applyFill="1" applyBorder="1" applyAlignment="1">
      <alignment horizontal="center" vertical="center" wrapText="1"/>
    </xf>
    <xf numFmtId="0" fontId="40" fillId="2" borderId="40" xfId="22" applyFont="1" applyFill="1" applyBorder="1" applyAlignment="1">
      <alignment horizontal="center" vertical="center"/>
    </xf>
    <xf numFmtId="0" fontId="124" fillId="2" borderId="98" xfId="220" applyFont="1" applyFill="1" applyBorder="1" applyAlignment="1">
      <alignment horizontal="center" vertical="center" wrapText="1"/>
    </xf>
    <xf numFmtId="0" fontId="124" fillId="2" borderId="99" xfId="220" applyFont="1" applyFill="1" applyBorder="1" applyAlignment="1">
      <alignment horizontal="center" vertical="center" wrapText="1"/>
    </xf>
    <xf numFmtId="0" fontId="40" fillId="2" borderId="38" xfId="22" applyFont="1" applyFill="1" applyBorder="1" applyAlignment="1">
      <alignment horizontal="center" vertical="center"/>
    </xf>
    <xf numFmtId="0" fontId="124" fillId="2" borderId="102" xfId="220" applyFont="1" applyFill="1" applyBorder="1" applyAlignment="1">
      <alignment horizontal="center" vertical="center" wrapText="1"/>
    </xf>
    <xf numFmtId="0" fontId="124" fillId="2" borderId="103" xfId="220" applyFont="1" applyFill="1" applyBorder="1" applyAlignment="1">
      <alignment horizontal="center" vertical="center" wrapText="1"/>
    </xf>
    <xf numFmtId="0" fontId="124" fillId="2" borderId="98" xfId="221" applyFont="1" applyFill="1" applyBorder="1" applyAlignment="1">
      <alignment horizontal="center" vertical="center" wrapText="1"/>
    </xf>
    <xf numFmtId="0" fontId="124" fillId="2" borderId="99" xfId="221" applyFont="1" applyFill="1" applyBorder="1" applyAlignment="1">
      <alignment horizontal="center" vertical="center" wrapText="1"/>
    </xf>
    <xf numFmtId="0" fontId="124" fillId="2" borderId="108" xfId="221" applyFont="1" applyFill="1" applyBorder="1" applyAlignment="1">
      <alignment horizontal="center" vertical="center" wrapText="1"/>
    </xf>
    <xf numFmtId="0" fontId="124" fillId="2" borderId="109" xfId="221" applyFont="1" applyFill="1" applyBorder="1" applyAlignment="1">
      <alignment horizontal="center" vertical="center" wrapText="1"/>
    </xf>
    <xf numFmtId="0" fontId="124" fillId="2" borderId="110" xfId="222" applyFont="1" applyFill="1" applyBorder="1" applyAlignment="1">
      <alignment horizontal="center" vertical="center" wrapText="1"/>
    </xf>
    <xf numFmtId="0" fontId="124" fillId="2" borderId="111" xfId="222" applyFont="1" applyFill="1" applyBorder="1" applyAlignment="1">
      <alignment horizontal="center" vertical="center" wrapText="1"/>
    </xf>
    <xf numFmtId="0" fontId="124" fillId="2" borderId="108" xfId="222" applyFont="1" applyFill="1" applyBorder="1" applyAlignment="1">
      <alignment horizontal="center" vertical="center" wrapText="1"/>
    </xf>
    <xf numFmtId="0" fontId="124" fillId="2" borderId="109" xfId="222" applyFont="1" applyFill="1" applyBorder="1" applyAlignment="1">
      <alignment horizontal="center" vertical="center" wrapText="1"/>
    </xf>
    <xf numFmtId="0" fontId="124" fillId="2" borderId="102" xfId="222" applyFont="1" applyFill="1" applyBorder="1" applyAlignment="1">
      <alignment horizontal="center" vertical="center" wrapText="1"/>
    </xf>
    <xf numFmtId="0" fontId="124" fillId="2" borderId="103" xfId="222" applyFont="1" applyFill="1" applyBorder="1" applyAlignment="1">
      <alignment horizontal="center" vertical="center" wrapText="1"/>
    </xf>
    <xf numFmtId="0" fontId="124" fillId="2" borderId="98" xfId="223" applyFont="1" applyFill="1" applyBorder="1" applyAlignment="1">
      <alignment horizontal="center" vertical="center" wrapText="1"/>
    </xf>
    <xf numFmtId="0" fontId="124" fillId="2" borderId="99" xfId="223" applyFont="1" applyFill="1" applyBorder="1" applyAlignment="1">
      <alignment horizontal="center" vertical="center" wrapText="1"/>
    </xf>
    <xf numFmtId="0" fontId="124" fillId="2" borderId="102" xfId="223" applyFont="1" applyFill="1" applyBorder="1" applyAlignment="1">
      <alignment horizontal="center" vertical="center" wrapText="1"/>
    </xf>
    <xf numFmtId="0" fontId="124" fillId="2" borderId="103" xfId="223" applyFont="1" applyFill="1" applyBorder="1" applyAlignment="1">
      <alignment horizontal="center" vertical="center" wrapText="1"/>
    </xf>
    <xf numFmtId="0" fontId="124" fillId="2" borderId="98" xfId="224" applyFont="1" applyFill="1" applyBorder="1" applyAlignment="1">
      <alignment horizontal="center" vertical="center" wrapText="1"/>
    </xf>
    <xf numFmtId="0" fontId="124" fillId="2" borderId="99" xfId="224" applyFont="1" applyFill="1" applyBorder="1" applyAlignment="1">
      <alignment horizontal="center" vertical="center" wrapText="1"/>
    </xf>
    <xf numFmtId="0" fontId="124" fillId="2" borderId="102" xfId="224" applyFont="1" applyFill="1" applyBorder="1" applyAlignment="1">
      <alignment horizontal="center" vertical="center" wrapText="1"/>
    </xf>
    <xf numFmtId="0" fontId="124" fillId="2" borderId="103" xfId="224" applyFont="1" applyFill="1" applyBorder="1" applyAlignment="1">
      <alignment horizontal="center" vertical="center" wrapText="1"/>
    </xf>
    <xf numFmtId="0" fontId="124" fillId="2" borderId="98" xfId="225" applyFont="1" applyFill="1" applyBorder="1" applyAlignment="1">
      <alignment horizontal="center" vertical="center" wrapText="1"/>
    </xf>
    <xf numFmtId="0" fontId="124" fillId="2" borderId="99" xfId="225" applyFont="1" applyFill="1" applyBorder="1" applyAlignment="1">
      <alignment horizontal="center" vertical="center" wrapText="1"/>
    </xf>
    <xf numFmtId="0" fontId="124" fillId="2" borderId="102" xfId="225" applyFont="1" applyFill="1" applyBorder="1" applyAlignment="1">
      <alignment horizontal="center" vertical="center" wrapText="1"/>
    </xf>
    <xf numFmtId="0" fontId="124" fillId="2" borderId="103" xfId="225" applyFont="1" applyFill="1" applyBorder="1" applyAlignment="1">
      <alignment horizontal="center" vertical="center" wrapText="1"/>
    </xf>
    <xf numFmtId="0" fontId="124" fillId="2" borderId="98" xfId="226" applyFont="1" applyFill="1" applyBorder="1" applyAlignment="1">
      <alignment horizontal="center" vertical="center" wrapText="1"/>
    </xf>
    <xf numFmtId="0" fontId="124" fillId="2" borderId="99" xfId="226" applyFont="1" applyFill="1" applyBorder="1" applyAlignment="1">
      <alignment horizontal="center" vertical="center" wrapText="1"/>
    </xf>
    <xf numFmtId="0" fontId="124" fillId="2" borderId="102" xfId="226" applyFont="1" applyFill="1" applyBorder="1" applyAlignment="1">
      <alignment horizontal="center" vertical="center" wrapText="1"/>
    </xf>
    <xf numFmtId="0" fontId="124" fillId="2" borderId="103" xfId="226" applyFont="1" applyFill="1" applyBorder="1" applyAlignment="1">
      <alignment horizontal="center" vertical="center" wrapText="1"/>
    </xf>
    <xf numFmtId="0" fontId="40" fillId="2" borderId="47" xfId="22" applyFont="1" applyFill="1" applyBorder="1" applyAlignment="1">
      <alignment horizontal="center" vertical="center"/>
    </xf>
    <xf numFmtId="0" fontId="124" fillId="2" borderId="108" xfId="227" applyFont="1" applyFill="1" applyBorder="1" applyAlignment="1">
      <alignment horizontal="center" vertical="center" wrapText="1"/>
    </xf>
    <xf numFmtId="0" fontId="124" fillId="2" borderId="109" xfId="227" applyFont="1" applyFill="1" applyBorder="1" applyAlignment="1">
      <alignment horizontal="center" vertical="center" wrapText="1"/>
    </xf>
    <xf numFmtId="0" fontId="124" fillId="2" borderId="102" xfId="227" applyFont="1" applyFill="1" applyBorder="1" applyAlignment="1">
      <alignment horizontal="center" vertical="center" wrapText="1"/>
    </xf>
    <xf numFmtId="0" fontId="124" fillId="2" borderId="103" xfId="227" applyFont="1" applyFill="1" applyBorder="1" applyAlignment="1">
      <alignment horizontal="center" vertical="center" wrapText="1"/>
    </xf>
    <xf numFmtId="0" fontId="124" fillId="2" borderId="98" xfId="228" applyFont="1" applyFill="1" applyBorder="1" applyAlignment="1">
      <alignment horizontal="center" vertical="center" wrapText="1"/>
    </xf>
    <xf numFmtId="0" fontId="124" fillId="2" borderId="99" xfId="228" applyFont="1" applyFill="1" applyBorder="1" applyAlignment="1">
      <alignment horizontal="center" vertical="center" wrapText="1"/>
    </xf>
    <xf numFmtId="0" fontId="124" fillId="2" borderId="102" xfId="228" applyFont="1" applyFill="1" applyBorder="1" applyAlignment="1">
      <alignment horizontal="center" vertical="center" wrapText="1"/>
    </xf>
    <xf numFmtId="0" fontId="124" fillId="2" borderId="103" xfId="228" applyFont="1" applyFill="1" applyBorder="1" applyAlignment="1">
      <alignment horizontal="center" vertical="center" wrapText="1"/>
    </xf>
    <xf numFmtId="0" fontId="124" fillId="2" borderId="98" xfId="229" applyFont="1" applyFill="1" applyBorder="1" applyAlignment="1">
      <alignment horizontal="center" vertical="center" wrapText="1"/>
    </xf>
    <xf numFmtId="0" fontId="124" fillId="2" borderId="99" xfId="229" applyFont="1" applyFill="1" applyBorder="1" applyAlignment="1">
      <alignment horizontal="center" vertical="center" wrapText="1"/>
    </xf>
    <xf numFmtId="0" fontId="124" fillId="2" borderId="102" xfId="229" applyFont="1" applyFill="1" applyBorder="1" applyAlignment="1">
      <alignment horizontal="center" vertical="center" wrapText="1"/>
    </xf>
    <xf numFmtId="0" fontId="124" fillId="2" borderId="103" xfId="229" applyFont="1" applyFill="1" applyBorder="1" applyAlignment="1">
      <alignment horizontal="center" vertical="center" wrapText="1"/>
    </xf>
    <xf numFmtId="0" fontId="124" fillId="2" borderId="108" xfId="230" applyFont="1" applyFill="1" applyBorder="1" applyAlignment="1">
      <alignment horizontal="center" vertical="center" wrapText="1"/>
    </xf>
    <xf numFmtId="0" fontId="124" fillId="2" borderId="109" xfId="230" applyFont="1" applyFill="1" applyBorder="1" applyAlignment="1">
      <alignment horizontal="center" vertical="center" wrapText="1"/>
    </xf>
    <xf numFmtId="0" fontId="124" fillId="2" borderId="102" xfId="230" applyFont="1" applyFill="1" applyBorder="1" applyAlignment="1">
      <alignment horizontal="center" vertical="center" wrapText="1"/>
    </xf>
    <xf numFmtId="0" fontId="124" fillId="2" borderId="103" xfId="230" applyFont="1" applyFill="1" applyBorder="1" applyAlignment="1">
      <alignment horizontal="center" vertical="center" wrapText="1"/>
    </xf>
    <xf numFmtId="0" fontId="124" fillId="2" borderId="98" xfId="231" applyFont="1" applyFill="1" applyBorder="1" applyAlignment="1">
      <alignment horizontal="center" vertical="center" wrapText="1"/>
    </xf>
    <xf numFmtId="0" fontId="124" fillId="2" borderId="99" xfId="231" applyFont="1" applyFill="1" applyBorder="1" applyAlignment="1">
      <alignment horizontal="center" vertical="center" wrapText="1"/>
    </xf>
    <xf numFmtId="0" fontId="124" fillId="2" borderId="102" xfId="231" applyFont="1" applyFill="1" applyBorder="1" applyAlignment="1">
      <alignment horizontal="center" vertical="center" wrapText="1"/>
    </xf>
    <xf numFmtId="0" fontId="124" fillId="2" borderId="103" xfId="231" applyFont="1" applyFill="1" applyBorder="1" applyAlignment="1">
      <alignment horizontal="center" vertical="center" wrapText="1"/>
    </xf>
    <xf numFmtId="0" fontId="124" fillId="2" borderId="98" xfId="232" applyFont="1" applyFill="1" applyBorder="1" applyAlignment="1">
      <alignment horizontal="center" vertical="center" wrapText="1"/>
    </xf>
    <xf numFmtId="0" fontId="124" fillId="2" borderId="99" xfId="232" applyFont="1" applyFill="1" applyBorder="1" applyAlignment="1">
      <alignment horizontal="center" vertical="center" wrapText="1"/>
    </xf>
    <xf numFmtId="0" fontId="124" fillId="2" borderId="102" xfId="232" applyFont="1" applyFill="1" applyBorder="1" applyAlignment="1">
      <alignment horizontal="center" vertical="center" wrapText="1"/>
    </xf>
    <xf numFmtId="0" fontId="124" fillId="2" borderId="103" xfId="232" applyFont="1" applyFill="1" applyBorder="1" applyAlignment="1">
      <alignment horizontal="center" vertical="center" wrapText="1"/>
    </xf>
    <xf numFmtId="0" fontId="124" fillId="2" borderId="98" xfId="233" applyFont="1" applyFill="1" applyBorder="1" applyAlignment="1">
      <alignment horizontal="center" vertical="center" wrapText="1"/>
    </xf>
    <xf numFmtId="0" fontId="124" fillId="2" borderId="99" xfId="233" applyFont="1" applyFill="1" applyBorder="1" applyAlignment="1">
      <alignment horizontal="center" vertical="center" wrapText="1"/>
    </xf>
    <xf numFmtId="0" fontId="124" fillId="2" borderId="102" xfId="233" applyFont="1" applyFill="1" applyBorder="1" applyAlignment="1">
      <alignment horizontal="center" vertical="center" wrapText="1"/>
    </xf>
    <xf numFmtId="0" fontId="124" fillId="2" borderId="103" xfId="233" applyFont="1" applyFill="1" applyBorder="1" applyAlignment="1">
      <alignment horizontal="center" vertical="center" wrapText="1"/>
    </xf>
    <xf numFmtId="0" fontId="124" fillId="2" borderId="98" xfId="234" applyFont="1" applyFill="1" applyBorder="1" applyAlignment="1">
      <alignment horizontal="center" vertical="center" wrapText="1"/>
    </xf>
    <xf numFmtId="0" fontId="124" fillId="2" borderId="99" xfId="234" applyFont="1" applyFill="1" applyBorder="1" applyAlignment="1">
      <alignment horizontal="center" vertical="center" wrapText="1"/>
    </xf>
    <xf numFmtId="0" fontId="40" fillId="2" borderId="57" xfId="22" applyFont="1" applyFill="1" applyBorder="1" applyAlignment="1">
      <alignment horizontal="center" vertical="center"/>
    </xf>
    <xf numFmtId="0" fontId="124" fillId="2" borderId="102" xfId="234" applyFont="1" applyFill="1" applyBorder="1" applyAlignment="1">
      <alignment horizontal="center" vertical="center" wrapText="1"/>
    </xf>
    <xf numFmtId="0" fontId="124" fillId="2" borderId="103" xfId="234" applyFont="1" applyFill="1" applyBorder="1" applyAlignment="1">
      <alignment horizontal="center" vertical="center" wrapText="1"/>
    </xf>
    <xf numFmtId="0" fontId="124" fillId="2" borderId="108" xfId="235" applyFont="1" applyFill="1" applyBorder="1" applyAlignment="1">
      <alignment horizontal="center" vertical="center" wrapText="1"/>
    </xf>
    <xf numFmtId="0" fontId="124" fillId="2" borderId="109" xfId="235" applyFont="1" applyFill="1" applyBorder="1" applyAlignment="1">
      <alignment horizontal="center" vertical="center" wrapText="1"/>
    </xf>
    <xf numFmtId="0" fontId="124" fillId="2" borderId="102" xfId="235" applyFont="1" applyFill="1" applyBorder="1" applyAlignment="1">
      <alignment horizontal="center" vertical="center" wrapText="1"/>
    </xf>
    <xf numFmtId="0" fontId="124" fillId="2" borderId="103" xfId="235" applyFont="1" applyFill="1" applyBorder="1" applyAlignment="1">
      <alignment horizontal="center" vertical="center" wrapText="1"/>
    </xf>
    <xf numFmtId="0" fontId="124" fillId="2" borderId="98" xfId="236" applyFont="1" applyFill="1" applyBorder="1" applyAlignment="1">
      <alignment horizontal="center" vertical="center" wrapText="1"/>
    </xf>
    <xf numFmtId="0" fontId="124" fillId="2" borderId="99" xfId="236" applyFont="1" applyFill="1" applyBorder="1" applyAlignment="1">
      <alignment horizontal="center" vertical="center" wrapText="1"/>
    </xf>
    <xf numFmtId="0" fontId="124" fillId="2" borderId="102" xfId="236" applyFont="1" applyFill="1" applyBorder="1" applyAlignment="1">
      <alignment horizontal="center" vertical="center" wrapText="1"/>
    </xf>
    <xf numFmtId="0" fontId="124" fillId="2" borderId="103" xfId="236" applyFont="1" applyFill="1" applyBorder="1" applyAlignment="1">
      <alignment horizontal="center" vertical="center" wrapText="1"/>
    </xf>
    <xf numFmtId="0" fontId="124" fillId="2" borderId="98" xfId="237" applyFont="1" applyFill="1" applyBorder="1" applyAlignment="1">
      <alignment horizontal="center" vertical="center" wrapText="1"/>
    </xf>
    <xf numFmtId="0" fontId="124" fillId="2" borderId="99" xfId="237" applyFont="1" applyFill="1" applyBorder="1" applyAlignment="1">
      <alignment horizontal="center" vertical="center" wrapText="1"/>
    </xf>
    <xf numFmtId="0" fontId="124" fillId="2" borderId="105" xfId="237" applyFont="1" applyFill="1" applyBorder="1" applyAlignment="1">
      <alignment horizontal="center" vertical="center" wrapText="1"/>
    </xf>
    <xf numFmtId="0" fontId="124" fillId="2" borderId="106" xfId="237" applyFont="1" applyFill="1" applyBorder="1" applyAlignment="1">
      <alignment horizontal="center" vertical="center" wrapText="1"/>
    </xf>
    <xf numFmtId="0" fontId="124" fillId="2" borderId="107" xfId="237" applyFont="1" applyFill="1" applyBorder="1" applyAlignment="1">
      <alignment horizontal="center" vertical="center" wrapText="1"/>
    </xf>
    <xf numFmtId="0" fontId="124" fillId="2" borderId="108" xfId="238" applyFont="1" applyFill="1" applyBorder="1" applyAlignment="1">
      <alignment horizontal="center" vertical="center" wrapText="1"/>
    </xf>
    <xf numFmtId="0" fontId="124" fillId="2" borderId="109" xfId="238" applyFont="1" applyFill="1" applyBorder="1" applyAlignment="1">
      <alignment horizontal="center" vertical="center" wrapText="1"/>
    </xf>
    <xf numFmtId="0" fontId="124" fillId="2" borderId="102" xfId="238" applyFont="1" applyFill="1" applyBorder="1" applyAlignment="1">
      <alignment horizontal="center" vertical="center" wrapText="1"/>
    </xf>
    <xf numFmtId="0" fontId="124" fillId="2" borderId="103" xfId="238" applyFont="1" applyFill="1" applyBorder="1" applyAlignment="1">
      <alignment horizontal="center" vertical="center" wrapText="1"/>
    </xf>
    <xf numFmtId="0" fontId="124" fillId="2" borderId="98" xfId="239" applyFont="1" applyFill="1" applyBorder="1" applyAlignment="1">
      <alignment horizontal="center" vertical="center" wrapText="1"/>
    </xf>
    <xf numFmtId="0" fontId="124" fillId="2" borderId="99" xfId="239" applyFont="1" applyFill="1" applyBorder="1" applyAlignment="1">
      <alignment horizontal="center" vertical="center" wrapText="1"/>
    </xf>
    <xf numFmtId="0" fontId="124" fillId="2" borderId="102" xfId="239" applyFont="1" applyFill="1" applyBorder="1" applyAlignment="1">
      <alignment horizontal="center" vertical="center" wrapText="1"/>
    </xf>
    <xf numFmtId="0" fontId="124" fillId="2" borderId="103" xfId="239" applyFont="1" applyFill="1" applyBorder="1" applyAlignment="1">
      <alignment horizontal="center" vertical="center" wrapText="1"/>
    </xf>
    <xf numFmtId="0" fontId="124" fillId="2" borderId="98" xfId="240" applyFont="1" applyFill="1" applyBorder="1" applyAlignment="1">
      <alignment horizontal="center" vertical="center" wrapText="1"/>
    </xf>
    <xf numFmtId="0" fontId="124" fillId="2" borderId="99" xfId="240" applyFont="1" applyFill="1" applyBorder="1" applyAlignment="1">
      <alignment horizontal="center" vertical="center" wrapText="1"/>
    </xf>
    <xf numFmtId="49" fontId="9" fillId="7" borderId="92" xfId="22" applyNumberFormat="1" applyFont="1" applyFill="1" applyBorder="1" applyAlignment="1">
      <alignment horizontal="center" vertical="center"/>
    </xf>
    <xf numFmtId="0" fontId="9" fillId="7" borderId="92" xfId="22" applyFont="1" applyFill="1" applyBorder="1" applyAlignment="1">
      <alignment vertical="center"/>
    </xf>
    <xf numFmtId="0" fontId="124" fillId="2" borderId="102" xfId="240" applyFont="1" applyFill="1" applyBorder="1" applyAlignment="1">
      <alignment horizontal="center" vertical="center" wrapText="1"/>
    </xf>
    <xf numFmtId="0" fontId="124" fillId="2" borderId="103" xfId="240" applyFont="1" applyFill="1" applyBorder="1" applyAlignment="1">
      <alignment horizontal="center" vertical="center" wrapText="1"/>
    </xf>
    <xf numFmtId="0" fontId="124" fillId="2" borderId="98" xfId="241" applyFont="1" applyFill="1" applyBorder="1" applyAlignment="1">
      <alignment horizontal="center" vertical="center" wrapText="1"/>
    </xf>
    <xf numFmtId="0" fontId="124" fillId="2" borderId="99" xfId="241" applyFont="1" applyFill="1" applyBorder="1" applyAlignment="1">
      <alignment horizontal="center" vertical="center" wrapText="1"/>
    </xf>
    <xf numFmtId="0" fontId="124" fillId="2" borderId="102" xfId="241" applyFont="1" applyFill="1" applyBorder="1" applyAlignment="1">
      <alignment horizontal="center" vertical="center" wrapText="1"/>
    </xf>
    <xf numFmtId="0" fontId="124" fillId="2" borderId="103" xfId="241" applyFont="1" applyFill="1" applyBorder="1" applyAlignment="1">
      <alignment horizontal="center" vertical="center" wrapText="1"/>
    </xf>
    <xf numFmtId="0" fontId="9" fillId="0" borderId="92" xfId="22" applyFont="1" applyFill="1" applyBorder="1" applyAlignment="1">
      <alignment vertical="center"/>
    </xf>
    <xf numFmtId="0" fontId="124" fillId="2" borderId="98" xfId="242" applyFont="1" applyFill="1" applyBorder="1" applyAlignment="1">
      <alignment horizontal="center" vertical="center" wrapText="1"/>
    </xf>
    <xf numFmtId="0" fontId="124" fillId="2" borderId="99" xfId="242" applyFont="1" applyFill="1" applyBorder="1" applyAlignment="1">
      <alignment horizontal="center" vertical="center" wrapText="1"/>
    </xf>
    <xf numFmtId="0" fontId="124" fillId="2" borderId="102" xfId="242" applyFont="1" applyFill="1" applyBorder="1" applyAlignment="1">
      <alignment horizontal="center" vertical="center" wrapText="1"/>
    </xf>
    <xf numFmtId="0" fontId="124" fillId="2" borderId="103" xfId="242" applyFont="1" applyFill="1" applyBorder="1" applyAlignment="1">
      <alignment horizontal="center" vertical="center" wrapText="1"/>
    </xf>
    <xf numFmtId="0" fontId="124" fillId="2" borderId="98" xfId="243" applyFont="1" applyFill="1" applyBorder="1" applyAlignment="1">
      <alignment horizontal="center" vertical="center" wrapText="1"/>
    </xf>
    <xf numFmtId="0" fontId="124" fillId="2" borderId="99" xfId="243" applyFont="1" applyFill="1" applyBorder="1" applyAlignment="1">
      <alignment horizontal="center" vertical="center" wrapText="1"/>
    </xf>
    <xf numFmtId="0" fontId="124" fillId="2" borderId="102" xfId="243" applyFont="1" applyFill="1" applyBorder="1" applyAlignment="1">
      <alignment horizontal="center" vertical="center" wrapText="1"/>
    </xf>
    <xf numFmtId="0" fontId="124" fillId="2" borderId="103" xfId="243" applyFont="1" applyFill="1" applyBorder="1" applyAlignment="1">
      <alignment horizontal="center" vertical="center" wrapText="1"/>
    </xf>
    <xf numFmtId="0" fontId="124" fillId="2" borderId="98" xfId="244" applyFont="1" applyFill="1" applyBorder="1" applyAlignment="1">
      <alignment horizontal="center" vertical="center" wrapText="1"/>
    </xf>
    <xf numFmtId="0" fontId="124" fillId="2" borderId="99" xfId="244" applyFont="1" applyFill="1" applyBorder="1" applyAlignment="1">
      <alignment horizontal="center" vertical="center" wrapText="1"/>
    </xf>
    <xf numFmtId="0" fontId="124" fillId="2" borderId="102" xfId="244" applyFont="1" applyFill="1" applyBorder="1" applyAlignment="1">
      <alignment horizontal="center" vertical="center" wrapText="1"/>
    </xf>
    <xf numFmtId="0" fontId="124" fillId="2" borderId="103" xfId="244" applyFont="1" applyFill="1" applyBorder="1" applyAlignment="1">
      <alignment horizontal="center" vertical="center" wrapText="1"/>
    </xf>
    <xf numFmtId="0" fontId="124" fillId="2" borderId="98" xfId="245" applyFont="1" applyFill="1" applyBorder="1" applyAlignment="1">
      <alignment horizontal="center" vertical="center" wrapText="1"/>
    </xf>
    <xf numFmtId="0" fontId="124" fillId="2" borderId="99" xfId="245" applyFont="1" applyFill="1" applyBorder="1" applyAlignment="1">
      <alignment horizontal="center" vertical="center" wrapText="1"/>
    </xf>
    <xf numFmtId="0" fontId="124" fillId="2" borderId="102" xfId="245" applyFont="1" applyFill="1" applyBorder="1" applyAlignment="1">
      <alignment horizontal="center" vertical="center" wrapText="1"/>
    </xf>
    <xf numFmtId="0" fontId="124" fillId="2" borderId="103" xfId="245" applyFont="1" applyFill="1" applyBorder="1" applyAlignment="1">
      <alignment horizontal="center" vertical="center" wrapText="1"/>
    </xf>
    <xf numFmtId="0" fontId="124" fillId="2" borderId="98" xfId="246" applyFont="1" applyFill="1" applyBorder="1" applyAlignment="1">
      <alignment horizontal="center" vertical="center" wrapText="1"/>
    </xf>
    <xf numFmtId="0" fontId="124" fillId="2" borderId="99" xfId="246" applyFont="1" applyFill="1" applyBorder="1" applyAlignment="1">
      <alignment horizontal="center" vertical="center" wrapText="1"/>
    </xf>
    <xf numFmtId="0" fontId="124" fillId="2" borderId="102" xfId="246" applyFont="1" applyFill="1" applyBorder="1" applyAlignment="1">
      <alignment horizontal="center" vertical="center" wrapText="1"/>
    </xf>
    <xf numFmtId="0" fontId="124" fillId="2" borderId="103" xfId="246" applyFont="1" applyFill="1" applyBorder="1" applyAlignment="1">
      <alignment horizontal="center" vertical="center" wrapText="1"/>
    </xf>
    <xf numFmtId="0" fontId="124" fillId="2" borderId="98" xfId="247" applyFont="1" applyFill="1" applyBorder="1" applyAlignment="1">
      <alignment horizontal="center" vertical="center" wrapText="1"/>
    </xf>
    <xf numFmtId="0" fontId="124" fillId="2" borderId="99" xfId="247" applyFont="1" applyFill="1" applyBorder="1" applyAlignment="1">
      <alignment horizontal="center" vertical="center" wrapText="1"/>
    </xf>
    <xf numFmtId="0" fontId="124" fillId="2" borderId="102" xfId="247" applyFont="1" applyFill="1" applyBorder="1" applyAlignment="1">
      <alignment horizontal="center" vertical="center" wrapText="1"/>
    </xf>
    <xf numFmtId="0" fontId="124" fillId="2" borderId="103" xfId="247" applyFont="1" applyFill="1" applyBorder="1" applyAlignment="1">
      <alignment horizontal="center" vertical="center" wrapText="1"/>
    </xf>
    <xf numFmtId="0" fontId="124" fillId="2" borderId="98" xfId="248" applyFont="1" applyFill="1" applyBorder="1" applyAlignment="1">
      <alignment horizontal="center" vertical="center" wrapText="1"/>
    </xf>
    <xf numFmtId="0" fontId="124" fillId="2" borderId="99" xfId="248" applyFont="1" applyFill="1" applyBorder="1" applyAlignment="1">
      <alignment horizontal="center" vertical="center" wrapText="1"/>
    </xf>
    <xf numFmtId="0" fontId="124" fillId="2" borderId="102" xfId="248" applyFont="1" applyFill="1" applyBorder="1" applyAlignment="1">
      <alignment horizontal="center" vertical="center" wrapText="1"/>
    </xf>
    <xf numFmtId="0" fontId="124" fillId="2" borderId="103" xfId="248" applyFont="1" applyFill="1" applyBorder="1" applyAlignment="1">
      <alignment horizontal="center" vertical="center" wrapText="1"/>
    </xf>
    <xf numFmtId="0" fontId="124" fillId="2" borderId="98" xfId="249" applyFont="1" applyFill="1" applyBorder="1" applyAlignment="1">
      <alignment horizontal="center" vertical="center" wrapText="1"/>
    </xf>
    <xf numFmtId="0" fontId="124" fillId="2" borderId="99" xfId="249" applyFont="1" applyFill="1" applyBorder="1" applyAlignment="1">
      <alignment horizontal="center" vertical="center" wrapText="1"/>
    </xf>
    <xf numFmtId="0" fontId="124" fillId="2" borderId="102" xfId="249" applyFont="1" applyFill="1" applyBorder="1" applyAlignment="1">
      <alignment horizontal="center" vertical="center" wrapText="1"/>
    </xf>
    <xf numFmtId="0" fontId="124" fillId="2" borderId="103" xfId="249" applyFont="1" applyFill="1" applyBorder="1" applyAlignment="1">
      <alignment horizontal="center" vertical="center" wrapText="1"/>
    </xf>
    <xf numFmtId="0" fontId="124" fillId="2" borderId="98" xfId="250" applyFont="1" applyFill="1" applyBorder="1" applyAlignment="1">
      <alignment horizontal="center" vertical="center" wrapText="1"/>
    </xf>
    <xf numFmtId="0" fontId="124" fillId="2" borderId="99" xfId="250" applyFont="1" applyFill="1" applyBorder="1" applyAlignment="1">
      <alignment horizontal="center" vertical="center" wrapText="1"/>
    </xf>
    <xf numFmtId="0" fontId="124" fillId="2" borderId="102" xfId="250" applyFont="1" applyFill="1" applyBorder="1" applyAlignment="1">
      <alignment horizontal="center" vertical="center" wrapText="1"/>
    </xf>
    <xf numFmtId="0" fontId="124" fillId="2" borderId="103" xfId="250" applyFont="1" applyFill="1" applyBorder="1" applyAlignment="1">
      <alignment horizontal="center" vertical="center" wrapText="1"/>
    </xf>
    <xf numFmtId="0" fontId="124" fillId="2" borderId="98" xfId="251" applyFont="1" applyFill="1" applyBorder="1" applyAlignment="1">
      <alignment horizontal="center" vertical="center" wrapText="1"/>
    </xf>
    <xf numFmtId="0" fontId="124" fillId="2" borderId="99" xfId="251" applyFont="1" applyFill="1" applyBorder="1" applyAlignment="1">
      <alignment horizontal="center" vertical="center" wrapText="1"/>
    </xf>
    <xf numFmtId="0" fontId="124" fillId="2" borderId="102" xfId="251" applyFont="1" applyFill="1" applyBorder="1" applyAlignment="1">
      <alignment horizontal="center" vertical="center" wrapText="1"/>
    </xf>
    <xf numFmtId="0" fontId="124" fillId="2" borderId="103" xfId="251" applyFont="1" applyFill="1" applyBorder="1" applyAlignment="1">
      <alignment horizontal="center" vertical="center" wrapText="1"/>
    </xf>
    <xf numFmtId="0" fontId="40" fillId="0" borderId="47" xfId="22" applyFont="1" applyFill="1" applyBorder="1" applyAlignment="1">
      <alignment horizontal="center" vertical="center"/>
    </xf>
    <xf numFmtId="0" fontId="40" fillId="0" borderId="69" xfId="22" applyFont="1" applyFill="1" applyBorder="1" applyAlignment="1">
      <alignment horizontal="center" vertical="center"/>
    </xf>
    <xf numFmtId="0" fontId="40" fillId="0" borderId="40" xfId="22" applyFont="1" applyFill="1" applyBorder="1" applyAlignment="1">
      <alignment horizontal="center" vertical="center"/>
    </xf>
    <xf numFmtId="0" fontId="40" fillId="0" borderId="38" xfId="22" applyFont="1" applyFill="1" applyBorder="1" applyAlignment="1">
      <alignment horizontal="center" vertical="center"/>
    </xf>
    <xf numFmtId="1" fontId="32" fillId="2" borderId="92" xfId="8" applyNumberFormat="1" applyFont="1" applyFill="1" applyBorder="1" applyAlignment="1">
      <alignment horizontal="center" vertical="center"/>
    </xf>
    <xf numFmtId="0" fontId="24" fillId="20" borderId="41" xfId="1" applyFont="1" applyFill="1" applyBorder="1" applyAlignment="1">
      <alignment horizontal="center" vertical="center"/>
    </xf>
    <xf numFmtId="0" fontId="24" fillId="20" borderId="35" xfId="1" applyFont="1" applyFill="1" applyBorder="1" applyAlignment="1">
      <alignment horizontal="center" vertical="center"/>
    </xf>
    <xf numFmtId="0" fontId="24" fillId="20" borderId="48" xfId="1" applyFont="1" applyFill="1" applyBorder="1" applyAlignment="1">
      <alignment horizontal="center" vertical="center"/>
    </xf>
    <xf numFmtId="0" fontId="24" fillId="20" borderId="45" xfId="22" applyFont="1" applyFill="1" applyBorder="1" applyAlignment="1">
      <alignment horizontal="center" vertical="center"/>
    </xf>
    <xf numFmtId="3" fontId="17" fillId="20" borderId="68" xfId="1" applyNumberFormat="1" applyFont="1" applyFill="1" applyBorder="1" applyAlignment="1">
      <alignment horizontal="right" vertical="center"/>
    </xf>
    <xf numFmtId="3" fontId="17" fillId="20" borderId="48" xfId="1" applyNumberFormat="1" applyFont="1" applyFill="1" applyBorder="1" applyAlignment="1">
      <alignment horizontal="right" vertical="center"/>
    </xf>
    <xf numFmtId="3" fontId="17" fillId="20" borderId="44" xfId="1" applyNumberFormat="1" applyFont="1" applyFill="1" applyBorder="1" applyAlignment="1">
      <alignment horizontal="right" vertical="center"/>
    </xf>
    <xf numFmtId="3" fontId="17" fillId="20" borderId="18" xfId="1" applyNumberFormat="1" applyFont="1" applyFill="1" applyBorder="1" applyAlignment="1">
      <alignment horizontal="right" vertical="center"/>
    </xf>
    <xf numFmtId="170" fontId="12" fillId="0" borderId="0" xfId="1" applyNumberFormat="1" applyFont="1" applyBorder="1"/>
    <xf numFmtId="0" fontId="24" fillId="20" borderId="43" xfId="1" applyFont="1" applyFill="1" applyBorder="1" applyAlignment="1">
      <alignment horizontal="center" vertical="center"/>
    </xf>
    <xf numFmtId="1" fontId="32" fillId="2" borderId="27" xfId="8" applyNumberFormat="1" applyFont="1" applyFill="1" applyBorder="1" applyAlignment="1">
      <alignment horizontal="center" vertical="center"/>
    </xf>
    <xf numFmtId="1" fontId="32" fillId="2" borderId="71" xfId="4" applyNumberFormat="1" applyFont="1" applyFill="1" applyBorder="1" applyAlignment="1">
      <alignment horizontal="center" vertical="center"/>
    </xf>
    <xf numFmtId="1" fontId="32" fillId="2" borderId="22" xfId="4" applyNumberFormat="1" applyFont="1" applyFill="1" applyBorder="1" applyAlignment="1">
      <alignment horizontal="center" vertical="center"/>
    </xf>
    <xf numFmtId="1" fontId="32" fillId="2" borderId="23" xfId="22" applyNumberFormat="1" applyFont="1" applyFill="1" applyBorder="1" applyAlignment="1">
      <alignment horizontal="center" vertical="center"/>
    </xf>
    <xf numFmtId="1" fontId="32" fillId="2" borderId="26" xfId="22" applyNumberFormat="1" applyFont="1" applyFill="1" applyBorder="1" applyAlignment="1">
      <alignment horizontal="center" vertical="center"/>
    </xf>
    <xf numFmtId="1" fontId="32" fillId="0" borderId="95" xfId="22" applyNumberFormat="1" applyFont="1" applyBorder="1" applyAlignment="1">
      <alignment horizontal="center" vertical="center"/>
    </xf>
    <xf numFmtId="1" fontId="32" fillId="0" borderId="92" xfId="22" applyNumberFormat="1" applyFont="1" applyBorder="1" applyAlignment="1">
      <alignment horizontal="center" vertical="center"/>
    </xf>
    <xf numFmtId="1" fontId="32" fillId="0" borderId="66" xfId="22" applyNumberFormat="1" applyFont="1" applyBorder="1" applyAlignment="1">
      <alignment horizontal="center" vertical="center"/>
    </xf>
    <xf numFmtId="3" fontId="32" fillId="0" borderId="12" xfId="22" applyNumberFormat="1" applyFont="1" applyBorder="1" applyAlignment="1">
      <alignment horizontal="center" vertical="center"/>
    </xf>
    <xf numFmtId="1" fontId="32" fillId="0" borderId="27" xfId="11" applyNumberFormat="1" applyFont="1" applyBorder="1" applyAlignment="1">
      <alignment horizontal="center" vertical="center"/>
    </xf>
    <xf numFmtId="1" fontId="32" fillId="0" borderId="92" xfId="11" applyNumberFormat="1" applyFont="1" applyBorder="1" applyAlignment="1">
      <alignment horizontal="center" vertical="center"/>
    </xf>
    <xf numFmtId="3" fontId="32" fillId="0" borderId="26" xfId="22" applyNumberFormat="1" applyFont="1" applyBorder="1" applyAlignment="1">
      <alignment horizontal="center" vertical="center"/>
    </xf>
    <xf numFmtId="1" fontId="32" fillId="0" borderId="27" xfId="22" applyNumberFormat="1" applyFont="1" applyBorder="1" applyAlignment="1">
      <alignment horizontal="center" vertical="center"/>
    </xf>
    <xf numFmtId="1" fontId="32" fillId="0" borderId="26" xfId="22" applyNumberFormat="1" applyFont="1" applyBorder="1" applyAlignment="1">
      <alignment horizontal="center" vertical="center"/>
    </xf>
    <xf numFmtId="3" fontId="35" fillId="0" borderId="27" xfId="1" applyNumberFormat="1" applyFont="1" applyBorder="1" applyAlignment="1">
      <alignment horizontal="center" vertical="center"/>
    </xf>
    <xf numFmtId="3" fontId="35" fillId="0" borderId="92" xfId="1" applyNumberFormat="1" applyFont="1" applyBorder="1" applyAlignment="1">
      <alignment horizontal="center" vertical="center"/>
    </xf>
    <xf numFmtId="3" fontId="35" fillId="0" borderId="26" xfId="1" applyNumberFormat="1" applyFont="1" applyBorder="1" applyAlignment="1">
      <alignment horizontal="center" vertical="center"/>
    </xf>
    <xf numFmtId="3" fontId="35" fillId="0" borderId="91" xfId="1" applyNumberFormat="1" applyFont="1" applyBorder="1" applyAlignment="1">
      <alignment horizontal="center" vertical="center"/>
    </xf>
    <xf numFmtId="3" fontId="35" fillId="0" borderId="31" xfId="1" applyNumberFormat="1" applyFont="1" applyBorder="1" applyAlignment="1">
      <alignment horizontal="center" vertical="center"/>
    </xf>
    <xf numFmtId="3" fontId="35" fillId="0" borderId="32" xfId="1" applyNumberFormat="1" applyFont="1" applyBorder="1" applyAlignment="1">
      <alignment horizontal="center" vertical="center"/>
    </xf>
    <xf numFmtId="0" fontId="208" fillId="0" borderId="72" xfId="6" applyFont="1" applyBorder="1"/>
    <xf numFmtId="0" fontId="208" fillId="0" borderId="49" xfId="6" applyFont="1" applyBorder="1"/>
    <xf numFmtId="3" fontId="32" fillId="0" borderId="38" xfId="1" applyNumberFormat="1" applyFont="1" applyBorder="1" applyAlignment="1">
      <alignment horizontal="right" vertical="center"/>
    </xf>
    <xf numFmtId="0" fontId="208" fillId="0" borderId="27" xfId="6" applyFont="1" applyBorder="1"/>
    <xf numFmtId="0" fontId="208" fillId="0" borderId="92" xfId="6" applyFont="1" applyBorder="1"/>
    <xf numFmtId="3" fontId="32" fillId="0" borderId="26" xfId="1" applyNumberFormat="1" applyFont="1" applyBorder="1" applyAlignment="1">
      <alignment horizontal="right" vertical="center"/>
    </xf>
    <xf numFmtId="3" fontId="32" fillId="0" borderId="95" xfId="1" applyNumberFormat="1" applyFont="1" applyBorder="1" applyAlignment="1">
      <alignment horizontal="right" vertical="center"/>
    </xf>
    <xf numFmtId="3" fontId="32" fillId="0" borderId="49" xfId="1" applyNumberFormat="1" applyFont="1" applyBorder="1" applyAlignment="1">
      <alignment horizontal="right" vertical="center"/>
    </xf>
    <xf numFmtId="3" fontId="32" fillId="0" borderId="66" xfId="1" applyNumberFormat="1" applyFont="1" applyBorder="1" applyAlignment="1">
      <alignment horizontal="right" vertical="center"/>
    </xf>
    <xf numFmtId="3" fontId="32" fillId="0" borderId="18" xfId="1" applyNumberFormat="1" applyFont="1" applyBorder="1" applyAlignment="1">
      <alignment horizontal="right" vertical="center"/>
    </xf>
    <xf numFmtId="3" fontId="209" fillId="2" borderId="27" xfId="1" applyNumberFormat="1" applyFont="1" applyFill="1" applyBorder="1" applyAlignment="1">
      <alignment horizontal="center" vertical="center" readingOrder="2"/>
    </xf>
    <xf numFmtId="3" fontId="209" fillId="2" borderId="92" xfId="1" applyNumberFormat="1" applyFont="1" applyFill="1" applyBorder="1" applyAlignment="1">
      <alignment horizontal="center" vertical="center" readingOrder="2"/>
    </xf>
    <xf numFmtId="0" fontId="81" fillId="2" borderId="49" xfId="4" applyFont="1" applyFill="1" applyBorder="1" applyAlignment="1">
      <alignment horizontal="center" vertical="center"/>
    </xf>
    <xf numFmtId="0" fontId="81" fillId="2" borderId="49" xfId="1" applyFont="1" applyFill="1" applyBorder="1" applyAlignment="1">
      <alignment horizontal="center" vertical="center"/>
    </xf>
    <xf numFmtId="0" fontId="209" fillId="2" borderId="92" xfId="1" applyFont="1" applyFill="1" applyBorder="1" applyAlignment="1">
      <alignment vertical="center"/>
    </xf>
    <xf numFmtId="3" fontId="209" fillId="2" borderId="91" xfId="1" applyNumberFormat="1" applyFont="1" applyFill="1" applyBorder="1" applyAlignment="1">
      <alignment horizontal="center" vertical="center" readingOrder="2"/>
    </xf>
    <xf numFmtId="3" fontId="209" fillId="2" borderId="31" xfId="1" applyNumberFormat="1" applyFont="1" applyFill="1" applyBorder="1" applyAlignment="1">
      <alignment horizontal="center" vertical="center" readingOrder="2"/>
    </xf>
    <xf numFmtId="170" fontId="9" fillId="0" borderId="0" xfId="22" applyNumberFormat="1" applyFont="1" applyFill="1"/>
    <xf numFmtId="2" fontId="9" fillId="0" borderId="0" xfId="22" applyNumberFormat="1" applyFont="1" applyFill="1"/>
    <xf numFmtId="0" fontId="41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54" xfId="1" applyFont="1" applyBorder="1" applyAlignment="1">
      <alignment horizontal="center" vertical="center"/>
    </xf>
    <xf numFmtId="0" fontId="12" fillId="0" borderId="60" xfId="1" applyFont="1" applyBorder="1" applyAlignment="1">
      <alignment horizontal="center" vertical="center"/>
    </xf>
    <xf numFmtId="0" fontId="12" fillId="0" borderId="61" xfId="1" applyFont="1" applyBorder="1" applyAlignment="1">
      <alignment horizontal="center" vertical="center"/>
    </xf>
    <xf numFmtId="0" fontId="12" fillId="0" borderId="62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0" borderId="48" xfId="1" applyFont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12" fillId="0" borderId="64" xfId="1" applyFont="1" applyBorder="1" applyAlignment="1">
      <alignment horizontal="center" vertical="center"/>
    </xf>
    <xf numFmtId="0" fontId="12" fillId="0" borderId="58" xfId="1" applyFont="1" applyBorder="1" applyAlignment="1">
      <alignment horizontal="center" vertical="center"/>
    </xf>
    <xf numFmtId="0" fontId="12" fillId="0" borderId="59" xfId="1" applyFont="1" applyBorder="1" applyAlignment="1">
      <alignment horizontal="center" vertical="center"/>
    </xf>
    <xf numFmtId="0" fontId="40" fillId="0" borderId="0" xfId="1" applyFont="1" applyAlignment="1">
      <alignment horizontal="right" vertical="center" readingOrder="2"/>
    </xf>
    <xf numFmtId="0" fontId="21" fillId="0" borderId="2" xfId="1" applyFont="1" applyBorder="1" applyAlignment="1">
      <alignment horizontal="center" vertical="center"/>
    </xf>
    <xf numFmtId="0" fontId="21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46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51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52" xfId="1" applyFont="1" applyBorder="1" applyAlignment="1">
      <alignment horizontal="center" vertical="center"/>
    </xf>
    <xf numFmtId="0" fontId="12" fillId="0" borderId="5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90" xfId="1" applyFont="1" applyBorder="1" applyAlignment="1">
      <alignment horizontal="center" vertical="center"/>
    </xf>
    <xf numFmtId="0" fontId="9" fillId="0" borderId="91" xfId="1" applyFont="1" applyBorder="1" applyAlignment="1">
      <alignment horizontal="center" vertical="center"/>
    </xf>
    <xf numFmtId="0" fontId="43" fillId="0" borderId="0" xfId="1" applyFont="1" applyAlignment="1">
      <alignment horizontal="right" vertical="center" wrapText="1" readingOrder="2"/>
    </xf>
    <xf numFmtId="2" fontId="9" fillId="0" borderId="0" xfId="1" applyNumberFormat="1" applyFont="1" applyAlignment="1">
      <alignment horizontal="right" vertical="center" readingOrder="2"/>
    </xf>
    <xf numFmtId="0" fontId="12" fillId="0" borderId="39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0" fontId="12" fillId="0" borderId="56" xfId="1" applyFont="1" applyBorder="1" applyAlignment="1">
      <alignment horizontal="center" vertical="center"/>
    </xf>
    <xf numFmtId="0" fontId="12" fillId="20" borderId="35" xfId="1" applyFont="1" applyFill="1" applyBorder="1" applyAlignment="1">
      <alignment horizontal="center" vertical="center"/>
    </xf>
    <xf numFmtId="0" fontId="12" fillId="20" borderId="36" xfId="1" applyFont="1" applyFill="1" applyBorder="1" applyAlignment="1">
      <alignment horizontal="center" vertical="center"/>
    </xf>
    <xf numFmtId="0" fontId="43" fillId="0" borderId="0" xfId="1" applyFont="1" applyAlignment="1">
      <alignment horizontal="right" vertical="center" readingOrder="2"/>
    </xf>
    <xf numFmtId="0" fontId="12" fillId="28" borderId="24" xfId="1" applyFont="1" applyFill="1" applyBorder="1" applyAlignment="1">
      <alignment horizontal="center" vertical="center"/>
    </xf>
    <xf numFmtId="0" fontId="12" fillId="28" borderId="26" xfId="1" applyFont="1" applyFill="1" applyBorder="1" applyAlignment="1">
      <alignment horizontal="center" vertical="center"/>
    </xf>
    <xf numFmtId="0" fontId="12" fillId="28" borderId="30" xfId="1" applyFont="1" applyFill="1" applyBorder="1" applyAlignment="1">
      <alignment horizontal="center" vertical="center"/>
    </xf>
    <xf numFmtId="0" fontId="12" fillId="28" borderId="32" xfId="1" applyFont="1" applyFill="1" applyBorder="1" applyAlignment="1">
      <alignment horizontal="center" vertical="center"/>
    </xf>
    <xf numFmtId="0" fontId="12" fillId="28" borderId="37" xfId="1" applyFont="1" applyFill="1" applyBorder="1" applyAlignment="1">
      <alignment horizontal="center" vertical="center"/>
    </xf>
    <xf numFmtId="0" fontId="12" fillId="28" borderId="38" xfId="1" applyFont="1" applyFill="1" applyBorder="1" applyAlignment="1">
      <alignment horizontal="center" vertical="center"/>
    </xf>
    <xf numFmtId="0" fontId="12" fillId="28" borderId="39" xfId="1" applyFont="1" applyFill="1" applyBorder="1" applyAlignment="1">
      <alignment horizontal="center" vertical="center"/>
    </xf>
    <xf numFmtId="0" fontId="12" fillId="28" borderId="40" xfId="1" applyFont="1" applyFill="1" applyBorder="1" applyAlignment="1">
      <alignment horizontal="center" vertical="center"/>
    </xf>
    <xf numFmtId="0" fontId="39" fillId="0" borderId="1" xfId="1" applyFont="1" applyBorder="1" applyAlignment="1">
      <alignment horizontal="center" vertical="center"/>
    </xf>
    <xf numFmtId="0" fontId="24" fillId="20" borderId="35" xfId="1" applyFont="1" applyFill="1" applyBorder="1" applyAlignment="1">
      <alignment horizontal="center" vertical="center"/>
    </xf>
    <xf numFmtId="0" fontId="24" fillId="20" borderId="36" xfId="1" applyFont="1" applyFill="1" applyBorder="1" applyAlignment="1">
      <alignment horizontal="center" vertical="center"/>
    </xf>
    <xf numFmtId="0" fontId="12" fillId="28" borderId="11" xfId="1" applyFont="1" applyFill="1" applyBorder="1" applyAlignment="1">
      <alignment horizontal="center" vertical="center"/>
    </xf>
    <xf numFmtId="0" fontId="12" fillId="28" borderId="13" xfId="1" applyFont="1" applyFill="1" applyBorder="1" applyAlignment="1">
      <alignment horizontal="center" vertical="center"/>
    </xf>
    <xf numFmtId="0" fontId="12" fillId="28" borderId="8" xfId="1" applyFont="1" applyFill="1" applyBorder="1" applyAlignment="1">
      <alignment horizontal="center" vertical="center" wrapText="1"/>
    </xf>
    <xf numFmtId="0" fontId="12" fillId="28" borderId="10" xfId="1" applyFont="1" applyFill="1" applyBorder="1" applyAlignment="1">
      <alignment horizontal="center" vertical="center" wrapText="1"/>
    </xf>
    <xf numFmtId="0" fontId="43" fillId="0" borderId="0" xfId="1" applyFont="1" applyAlignment="1">
      <alignment horizontal="right" vertical="center"/>
    </xf>
    <xf numFmtId="0" fontId="12" fillId="28" borderId="21" xfId="1" applyFont="1" applyFill="1" applyBorder="1" applyAlignment="1">
      <alignment horizontal="center" vertical="center"/>
    </xf>
    <xf numFmtId="0" fontId="12" fillId="28" borderId="23" xfId="1" applyFont="1" applyFill="1" applyBorder="1" applyAlignment="1">
      <alignment horizontal="center" vertical="center"/>
    </xf>
    <xf numFmtId="0" fontId="39" fillId="2" borderId="1" xfId="1" applyFont="1" applyFill="1" applyBorder="1" applyAlignment="1">
      <alignment horizontal="center" vertical="center"/>
    </xf>
    <xf numFmtId="0" fontId="12" fillId="28" borderId="5" xfId="1" applyFont="1" applyFill="1" applyBorder="1" applyAlignment="1">
      <alignment horizontal="center" vertical="center"/>
    </xf>
    <xf numFmtId="0" fontId="12" fillId="28" borderId="7" xfId="1" applyFont="1" applyFill="1" applyBorder="1" applyAlignment="1">
      <alignment horizontal="center" vertical="center"/>
    </xf>
    <xf numFmtId="0" fontId="50" fillId="0" borderId="0" xfId="1" applyFont="1" applyAlignment="1">
      <alignment horizontal="center"/>
    </xf>
    <xf numFmtId="0" fontId="59" fillId="12" borderId="25" xfId="12" applyFont="1" applyFill="1" applyBorder="1" applyAlignment="1">
      <alignment horizontal="center"/>
    </xf>
    <xf numFmtId="0" fontId="56" fillId="10" borderId="25" xfId="12" applyFont="1" applyFill="1" applyBorder="1" applyAlignment="1">
      <alignment horizontal="center"/>
    </xf>
    <xf numFmtId="0" fontId="59" fillId="0" borderId="29" xfId="12" applyFont="1" applyBorder="1" applyAlignment="1">
      <alignment horizontal="center"/>
    </xf>
    <xf numFmtId="0" fontId="59" fillId="0" borderId="51" xfId="12" applyFont="1" applyBorder="1" applyAlignment="1">
      <alignment horizontal="center"/>
    </xf>
    <xf numFmtId="0" fontId="59" fillId="0" borderId="27" xfId="12" applyFont="1" applyBorder="1" applyAlignment="1">
      <alignment horizontal="center"/>
    </xf>
    <xf numFmtId="3" fontId="51" fillId="0" borderId="1" xfId="8" applyNumberFormat="1" applyFont="1" applyBorder="1" applyAlignment="1">
      <alignment horizontal="center" vertical="center"/>
    </xf>
    <xf numFmtId="0" fontId="56" fillId="34" borderId="25" xfId="12" applyFont="1" applyFill="1" applyBorder="1" applyAlignment="1">
      <alignment horizontal="center"/>
    </xf>
    <xf numFmtId="0" fontId="24" fillId="0" borderId="21" xfId="1" applyFont="1" applyBorder="1" applyAlignment="1">
      <alignment horizontal="center" vertical="center"/>
    </xf>
    <xf numFmtId="0" fontId="24" fillId="0" borderId="24" xfId="1" applyFont="1" applyBorder="1" applyAlignment="1">
      <alignment horizontal="center" vertical="center"/>
    </xf>
    <xf numFmtId="0" fontId="24" fillId="0" borderId="30" xfId="1" applyFont="1" applyBorder="1" applyAlignment="1">
      <alignment horizontal="center" vertical="center"/>
    </xf>
    <xf numFmtId="0" fontId="24" fillId="0" borderId="64" xfId="1" applyFont="1" applyBorder="1" applyAlignment="1">
      <alignment horizontal="center" vertical="center"/>
    </xf>
    <xf numFmtId="0" fontId="24" fillId="0" borderId="57" xfId="1" applyFont="1" applyBorder="1" applyAlignment="1">
      <alignment horizontal="center" vertical="center"/>
    </xf>
    <xf numFmtId="0" fontId="43" fillId="0" borderId="20" xfId="1" applyFont="1" applyBorder="1" applyAlignment="1">
      <alignment horizontal="center" vertical="center"/>
    </xf>
    <xf numFmtId="0" fontId="36" fillId="0" borderId="1" xfId="1" applyFont="1" applyBorder="1" applyAlignment="1">
      <alignment horizontal="center" vertical="center" wrapText="1"/>
    </xf>
    <xf numFmtId="0" fontId="24" fillId="0" borderId="23" xfId="1" applyFont="1" applyBorder="1" applyAlignment="1">
      <alignment horizontal="center" vertical="center"/>
    </xf>
    <xf numFmtId="0" fontId="24" fillId="0" borderId="39" xfId="1" applyFont="1" applyBorder="1" applyAlignment="1">
      <alignment horizontal="center" vertical="center"/>
    </xf>
    <xf numFmtId="0" fontId="24" fillId="0" borderId="40" xfId="1" applyFont="1" applyBorder="1" applyAlignment="1">
      <alignment horizontal="center" vertical="center"/>
    </xf>
    <xf numFmtId="0" fontId="24" fillId="0" borderId="46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24" fillId="0" borderId="33" xfId="1" applyFont="1" applyBorder="1" applyAlignment="1">
      <alignment horizontal="center" vertical="center"/>
    </xf>
    <xf numFmtId="0" fontId="24" fillId="0" borderId="37" xfId="1" applyFont="1" applyBorder="1" applyAlignment="1">
      <alignment horizontal="center" vertical="center"/>
    </xf>
    <xf numFmtId="0" fontId="40" fillId="0" borderId="0" xfId="1" applyFont="1" applyAlignment="1">
      <alignment horizontal="right" vertical="center" wrapText="1" readingOrder="2"/>
    </xf>
    <xf numFmtId="0" fontId="43" fillId="0" borderId="64" xfId="8" applyFont="1" applyBorder="1" applyAlignment="1">
      <alignment horizontal="center" vertical="center"/>
    </xf>
    <xf numFmtId="0" fontId="43" fillId="0" borderId="59" xfId="8" applyFont="1" applyBorder="1" applyAlignment="1">
      <alignment horizontal="center" vertical="center"/>
    </xf>
    <xf numFmtId="0" fontId="43" fillId="0" borderId="21" xfId="8" applyFont="1" applyBorder="1" applyAlignment="1">
      <alignment horizontal="center" vertical="center" wrapText="1"/>
    </xf>
    <xf numFmtId="0" fontId="43" fillId="0" borderId="24" xfId="8" applyFont="1" applyBorder="1" applyAlignment="1">
      <alignment horizontal="center" vertical="center" wrapText="1"/>
    </xf>
    <xf numFmtId="0" fontId="43" fillId="0" borderId="39" xfId="8" applyFont="1" applyBorder="1" applyAlignment="1">
      <alignment horizontal="center" vertical="center" wrapText="1"/>
    </xf>
    <xf numFmtId="0" fontId="43" fillId="0" borderId="35" xfId="8" applyFont="1" applyBorder="1" applyAlignment="1">
      <alignment horizontal="center" vertical="center"/>
    </xf>
    <xf numFmtId="0" fontId="43" fillId="0" borderId="36" xfId="8" applyFont="1" applyBorder="1" applyAlignment="1">
      <alignment horizontal="center" vertical="center"/>
    </xf>
    <xf numFmtId="0" fontId="43" fillId="0" borderId="20" xfId="8" applyFont="1" applyBorder="1" applyAlignment="1">
      <alignment horizontal="center" vertical="center"/>
    </xf>
    <xf numFmtId="0" fontId="43" fillId="0" borderId="37" xfId="8" applyFont="1" applyBorder="1" applyAlignment="1">
      <alignment horizontal="center" vertical="center" wrapText="1"/>
    </xf>
    <xf numFmtId="0" fontId="43" fillId="0" borderId="30" xfId="8" applyFont="1" applyBorder="1" applyAlignment="1">
      <alignment horizontal="center" vertical="center" wrapText="1"/>
    </xf>
    <xf numFmtId="0" fontId="43" fillId="0" borderId="21" xfId="8" applyFont="1" applyBorder="1" applyAlignment="1">
      <alignment horizontal="center" vertical="center"/>
    </xf>
    <xf numFmtId="0" fontId="43" fillId="0" borderId="24" xfId="8" applyFont="1" applyBorder="1" applyAlignment="1">
      <alignment horizontal="center" vertical="center"/>
    </xf>
    <xf numFmtId="0" fontId="43" fillId="0" borderId="30" xfId="8" applyFont="1" applyBorder="1" applyAlignment="1">
      <alignment horizontal="center" vertical="center"/>
    </xf>
    <xf numFmtId="0" fontId="43" fillId="0" borderId="37" xfId="8" applyFont="1" applyBorder="1" applyAlignment="1">
      <alignment horizontal="center" vertical="center"/>
    </xf>
    <xf numFmtId="0" fontId="43" fillId="0" borderId="39" xfId="8" applyFont="1" applyBorder="1" applyAlignment="1">
      <alignment horizontal="center" vertical="center"/>
    </xf>
    <xf numFmtId="0" fontId="43" fillId="0" borderId="60" xfId="8" applyFont="1" applyBorder="1" applyAlignment="1">
      <alignment horizontal="center" vertical="center"/>
    </xf>
    <xf numFmtId="0" fontId="43" fillId="0" borderId="77" xfId="8" applyFont="1" applyBorder="1" applyAlignment="1">
      <alignment horizontal="center" vertical="center"/>
    </xf>
    <xf numFmtId="0" fontId="50" fillId="0" borderId="0" xfId="8" applyFont="1" applyAlignment="1">
      <alignment horizontal="center" vertical="center"/>
    </xf>
    <xf numFmtId="0" fontId="12" fillId="0" borderId="21" xfId="8" applyFont="1" applyBorder="1" applyAlignment="1">
      <alignment horizontal="center" vertical="center"/>
    </xf>
    <xf numFmtId="0" fontId="12" fillId="0" borderId="46" xfId="8" applyFont="1" applyBorder="1" applyAlignment="1">
      <alignment horizontal="center" vertical="center"/>
    </xf>
    <xf numFmtId="0" fontId="12" fillId="0" borderId="30" xfId="8" applyFont="1" applyBorder="1" applyAlignment="1">
      <alignment horizontal="center" vertical="center"/>
    </xf>
    <xf numFmtId="0" fontId="12" fillId="0" borderId="55" xfId="8" applyFont="1" applyBorder="1" applyAlignment="1">
      <alignment horizontal="center" vertical="center"/>
    </xf>
    <xf numFmtId="0" fontId="12" fillId="0" borderId="22" xfId="8" applyFont="1" applyBorder="1" applyAlignment="1">
      <alignment horizontal="center" vertical="center"/>
    </xf>
    <xf numFmtId="0" fontId="12" fillId="0" borderId="23" xfId="8" applyFont="1" applyBorder="1" applyAlignment="1">
      <alignment horizontal="center" vertical="center"/>
    </xf>
    <xf numFmtId="0" fontId="12" fillId="0" borderId="3" xfId="8" applyFont="1" applyBorder="1" applyAlignment="1">
      <alignment horizontal="center" vertical="center" wrapText="1"/>
    </xf>
    <xf numFmtId="0" fontId="12" fillId="0" borderId="18" xfId="8" applyFont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50" fillId="0" borderId="0" xfId="1" applyFont="1" applyAlignment="1">
      <alignment horizontal="center" vertical="center"/>
    </xf>
    <xf numFmtId="0" fontId="62" fillId="0" borderId="1" xfId="1" applyFont="1" applyBorder="1" applyAlignment="1">
      <alignment horizontal="left" vertical="center"/>
    </xf>
    <xf numFmtId="0" fontId="63" fillId="0" borderId="1" xfId="1" applyFont="1" applyBorder="1" applyAlignment="1">
      <alignment horizontal="left" vertical="center"/>
    </xf>
    <xf numFmtId="0" fontId="7" fillId="0" borderId="87" xfId="1" applyBorder="1" applyAlignment="1">
      <alignment vertical="center" wrapText="1"/>
    </xf>
    <xf numFmtId="0" fontId="40" fillId="0" borderId="20" xfId="8" applyFont="1" applyBorder="1" applyAlignment="1">
      <alignment horizontal="right" vertical="center"/>
    </xf>
    <xf numFmtId="0" fontId="66" fillId="0" borderId="20" xfId="8" applyFont="1" applyBorder="1" applyAlignment="1">
      <alignment horizontal="right" vertical="center"/>
    </xf>
    <xf numFmtId="0" fontId="43" fillId="5" borderId="0" xfId="1" applyFont="1" applyFill="1" applyAlignment="1">
      <alignment horizontal="center" vertical="center" wrapText="1" readingOrder="2"/>
    </xf>
    <xf numFmtId="0" fontId="69" fillId="0" borderId="0" xfId="1" applyFont="1" applyAlignment="1">
      <alignment horizontal="center" vertical="center" wrapText="1"/>
    </xf>
    <xf numFmtId="0" fontId="70" fillId="0" borderId="0" xfId="1" applyFont="1" applyAlignment="1">
      <alignment horizontal="center" vertical="center" wrapText="1"/>
    </xf>
    <xf numFmtId="0" fontId="7" fillId="0" borderId="85" xfId="1" applyBorder="1" applyAlignment="1">
      <alignment vertical="center" wrapText="1"/>
    </xf>
    <xf numFmtId="0" fontId="40" fillId="0" borderId="4" xfId="8" applyFont="1" applyBorder="1" applyAlignment="1">
      <alignment horizontal="right" vertical="center"/>
    </xf>
    <xf numFmtId="0" fontId="43" fillId="0" borderId="7" xfId="1" applyFont="1" applyBorder="1" applyAlignment="1">
      <alignment horizontal="right" vertical="center" wrapText="1" readingOrder="2"/>
    </xf>
    <xf numFmtId="0" fontId="12" fillId="0" borderId="32" xfId="8" applyFont="1" applyBorder="1" applyAlignment="1">
      <alignment horizontal="center" vertical="center"/>
    </xf>
    <xf numFmtId="0" fontId="12" fillId="0" borderId="9" xfId="8" applyFont="1" applyBorder="1" applyAlignment="1">
      <alignment horizontal="center" vertical="center"/>
    </xf>
    <xf numFmtId="0" fontId="12" fillId="0" borderId="33" xfId="8" applyFont="1" applyBorder="1" applyAlignment="1">
      <alignment horizontal="center" vertical="center"/>
    </xf>
    <xf numFmtId="0" fontId="12" fillId="0" borderId="71" xfId="8" applyFont="1" applyBorder="1" applyAlignment="1">
      <alignment horizontal="center" vertical="center"/>
    </xf>
    <xf numFmtId="0" fontId="12" fillId="0" borderId="53" xfId="8" applyFont="1" applyBorder="1" applyAlignment="1">
      <alignment horizontal="center" vertical="center"/>
    </xf>
    <xf numFmtId="0" fontId="12" fillId="0" borderId="40" xfId="8" applyFont="1" applyBorder="1" applyAlignment="1">
      <alignment horizontal="center" vertical="center"/>
    </xf>
    <xf numFmtId="0" fontId="64" fillId="0" borderId="1" xfId="8" applyFont="1" applyBorder="1" applyAlignment="1">
      <alignment horizontal="center" vertical="center"/>
    </xf>
    <xf numFmtId="0" fontId="76" fillId="5" borderId="0" xfId="12" applyFont="1" applyFill="1" applyAlignment="1">
      <alignment horizontal="right" vertical="center" wrapText="1"/>
    </xf>
    <xf numFmtId="0" fontId="76" fillId="5" borderId="0" xfId="12" applyFont="1" applyFill="1" applyAlignment="1">
      <alignment horizontal="right" vertical="center"/>
    </xf>
    <xf numFmtId="0" fontId="22" fillId="0" borderId="0" xfId="1" applyFont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71" xfId="1" applyFont="1" applyBorder="1" applyAlignment="1">
      <alignment horizontal="center" vertical="center"/>
    </xf>
    <xf numFmtId="0" fontId="11" fillId="0" borderId="46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75" fillId="0" borderId="0" xfId="1" applyFont="1" applyAlignment="1">
      <alignment horizontal="right"/>
    </xf>
    <xf numFmtId="0" fontId="8" fillId="0" borderId="0" xfId="1" applyFont="1" applyAlignment="1">
      <alignment horizontal="center" vertical="center"/>
    </xf>
    <xf numFmtId="0" fontId="40" fillId="0" borderId="0" xfId="1" applyFont="1" applyAlignment="1">
      <alignment horizontal="right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71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36" fillId="0" borderId="0" xfId="1" applyFont="1" applyAlignment="1">
      <alignment horizontal="center" vertical="center"/>
    </xf>
    <xf numFmtId="0" fontId="86" fillId="0" borderId="0" xfId="19" applyFont="1" applyAlignment="1">
      <alignment horizontal="center" vertical="center" readingOrder="2"/>
    </xf>
    <xf numFmtId="0" fontId="22" fillId="0" borderId="1" xfId="1" applyFont="1" applyBorder="1" applyAlignment="1">
      <alignment horizontal="left" vertical="center"/>
    </xf>
    <xf numFmtId="0" fontId="17" fillId="0" borderId="0" xfId="1" applyFont="1" applyAlignment="1">
      <alignment horizontal="right" vertical="center"/>
    </xf>
    <xf numFmtId="0" fontId="24" fillId="0" borderId="0" xfId="1" applyFont="1" applyAlignment="1">
      <alignment horizontal="right"/>
    </xf>
    <xf numFmtId="0" fontId="10" fillId="0" borderId="1" xfId="1" applyFont="1" applyBorder="1" applyAlignment="1">
      <alignment horizontal="left" vertical="center"/>
    </xf>
    <xf numFmtId="0" fontId="90" fillId="0" borderId="1" xfId="1" applyFont="1" applyBorder="1" applyAlignment="1">
      <alignment horizontal="left" vertical="center"/>
    </xf>
    <xf numFmtId="0" fontId="91" fillId="0" borderId="1" xfId="1" applyFont="1" applyBorder="1" applyAlignment="1">
      <alignment horizontal="center" vertical="center"/>
    </xf>
    <xf numFmtId="0" fontId="101" fillId="0" borderId="1" xfId="1" applyFont="1" applyBorder="1" applyAlignment="1">
      <alignment horizontal="center" vertical="center"/>
    </xf>
    <xf numFmtId="0" fontId="9" fillId="5" borderId="0" xfId="1" applyFont="1" applyFill="1" applyAlignment="1">
      <alignment horizontal="center"/>
    </xf>
    <xf numFmtId="0" fontId="23" fillId="0" borderId="1" xfId="1" applyFont="1" applyBorder="1" applyAlignment="1">
      <alignment horizontal="left" vertical="center"/>
    </xf>
    <xf numFmtId="0" fontId="43" fillId="0" borderId="10" xfId="1" applyFont="1" applyBorder="1" applyAlignment="1">
      <alignment horizontal="center" vertical="center"/>
    </xf>
    <xf numFmtId="0" fontId="43" fillId="0" borderId="16" xfId="1" applyFont="1" applyBorder="1" applyAlignment="1">
      <alignment horizontal="center" vertical="center"/>
    </xf>
    <xf numFmtId="0" fontId="40" fillId="0" borderId="0" xfId="1" applyFont="1" applyAlignment="1">
      <alignment horizontal="center" vertical="center"/>
    </xf>
    <xf numFmtId="0" fontId="106" fillId="0" borderId="0" xfId="1" applyFont="1" applyAlignment="1">
      <alignment horizontal="center" vertical="center"/>
    </xf>
    <xf numFmtId="0" fontId="43" fillId="0" borderId="3" xfId="1" applyFont="1" applyBorder="1" applyAlignment="1">
      <alignment horizontal="center" vertical="center"/>
    </xf>
    <xf numFmtId="0" fontId="43" fillId="0" borderId="18" xfId="1" applyFont="1" applyBorder="1" applyAlignment="1">
      <alignment horizontal="center" vertical="center"/>
    </xf>
    <xf numFmtId="0" fontId="40" fillId="0" borderId="3" xfId="1" applyFont="1" applyBorder="1" applyAlignment="1">
      <alignment horizontal="center" vertical="center" wrapText="1"/>
    </xf>
    <xf numFmtId="0" fontId="40" fillId="0" borderId="18" xfId="1" applyFont="1" applyBorder="1" applyAlignment="1">
      <alignment horizontal="center" vertical="center" wrapText="1"/>
    </xf>
    <xf numFmtId="0" fontId="43" fillId="0" borderId="71" xfId="1" applyFont="1" applyBorder="1" applyAlignment="1">
      <alignment horizontal="center" vertical="center"/>
    </xf>
    <xf numFmtId="0" fontId="43" fillId="0" borderId="46" xfId="1" applyFont="1" applyBorder="1" applyAlignment="1">
      <alignment horizontal="center" vertical="center"/>
    </xf>
    <xf numFmtId="0" fontId="43" fillId="0" borderId="21" xfId="1" applyFont="1" applyBorder="1" applyAlignment="1">
      <alignment horizontal="center" vertical="center"/>
    </xf>
    <xf numFmtId="0" fontId="43" fillId="0" borderId="23" xfId="1" applyFont="1" applyBorder="1" applyAlignment="1">
      <alignment horizontal="center" vertical="center"/>
    </xf>
    <xf numFmtId="0" fontId="43" fillId="0" borderId="9" xfId="1" applyFont="1" applyBorder="1" applyAlignment="1">
      <alignment horizontal="center" vertical="center"/>
    </xf>
    <xf numFmtId="0" fontId="43" fillId="0" borderId="15" xfId="1" applyFont="1" applyBorder="1" applyAlignment="1">
      <alignment horizontal="center" vertical="center"/>
    </xf>
    <xf numFmtId="0" fontId="103" fillId="0" borderId="1" xfId="1" applyFont="1" applyBorder="1" applyAlignment="1">
      <alignment horizontal="center" vertical="center"/>
    </xf>
    <xf numFmtId="0" fontId="43" fillId="0" borderId="35" xfId="1" applyFont="1" applyBorder="1" applyAlignment="1">
      <alignment horizontal="center" vertical="center"/>
    </xf>
    <xf numFmtId="0" fontId="43" fillId="0" borderId="36" xfId="1" applyFont="1" applyBorder="1" applyAlignment="1">
      <alignment horizontal="center" vertical="center"/>
    </xf>
    <xf numFmtId="0" fontId="107" fillId="0" borderId="0" xfId="1" applyFont="1" applyAlignment="1">
      <alignment horizontal="center" vertical="center" readingOrder="2"/>
    </xf>
    <xf numFmtId="0" fontId="136" fillId="0" borderId="1" xfId="8" applyFont="1" applyBorder="1" applyAlignment="1">
      <alignment horizontal="center" vertical="center"/>
    </xf>
    <xf numFmtId="0" fontId="32" fillId="0" borderId="20" xfId="8" applyFont="1" applyBorder="1" applyAlignment="1">
      <alignment horizontal="right" vertical="center"/>
    </xf>
    <xf numFmtId="0" fontId="32" fillId="0" borderId="0" xfId="8" applyFont="1" applyAlignment="1">
      <alignment horizontal="right" vertical="center"/>
    </xf>
    <xf numFmtId="0" fontId="9" fillId="0" borderId="0" xfId="8" applyFont="1" applyAlignment="1">
      <alignment horizontal="right" vertical="center"/>
    </xf>
    <xf numFmtId="0" fontId="36" fillId="0" borderId="0" xfId="8" applyFont="1" applyAlignment="1">
      <alignment horizontal="center" vertical="center"/>
    </xf>
    <xf numFmtId="0" fontId="12" fillId="0" borderId="15" xfId="8" applyFont="1" applyBorder="1" applyAlignment="1">
      <alignment horizontal="center" vertical="center"/>
    </xf>
    <xf numFmtId="0" fontId="12" fillId="0" borderId="8" xfId="8" applyFont="1" applyBorder="1" applyAlignment="1">
      <alignment horizontal="center" vertical="center"/>
    </xf>
    <xf numFmtId="0" fontId="12" fillId="0" borderId="14" xfId="8" applyFont="1" applyBorder="1" applyAlignment="1">
      <alignment horizontal="center" vertical="center"/>
    </xf>
    <xf numFmtId="0" fontId="9" fillId="0" borderId="20" xfId="8" applyFont="1" applyBorder="1" applyAlignment="1">
      <alignment horizontal="right" vertical="center"/>
    </xf>
    <xf numFmtId="0" fontId="101" fillId="0" borderId="0" xfId="8" applyFont="1" applyAlignment="1">
      <alignment horizontal="center" vertical="center"/>
    </xf>
    <xf numFmtId="0" fontId="38" fillId="0" borderId="0" xfId="8" applyFont="1" applyAlignment="1">
      <alignment horizontal="left" vertical="center"/>
    </xf>
    <xf numFmtId="0" fontId="38" fillId="0" borderId="1" xfId="8" applyFont="1" applyBorder="1" applyAlignment="1">
      <alignment horizontal="left" vertical="center"/>
    </xf>
    <xf numFmtId="0" fontId="138" fillId="0" borderId="0" xfId="8" applyFont="1" applyAlignment="1">
      <alignment horizontal="center" vertical="center"/>
    </xf>
    <xf numFmtId="0" fontId="62" fillId="0" borderId="1" xfId="8" applyFont="1" applyBorder="1" applyAlignment="1">
      <alignment horizontal="left" vertical="center"/>
    </xf>
    <xf numFmtId="0" fontId="11" fillId="0" borderId="71" xfId="8" applyFont="1" applyBorder="1" applyAlignment="1">
      <alignment horizontal="center" vertical="center"/>
    </xf>
    <xf numFmtId="0" fontId="11" fillId="0" borderId="46" xfId="8" applyFont="1" applyBorder="1" applyAlignment="1">
      <alignment horizontal="center" vertical="center"/>
    </xf>
    <xf numFmtId="0" fontId="12" fillId="0" borderId="47" xfId="8" applyFont="1" applyBorder="1" applyAlignment="1">
      <alignment horizontal="center" vertical="center"/>
    </xf>
    <xf numFmtId="0" fontId="12" fillId="0" borderId="57" xfId="8" applyFont="1" applyBorder="1" applyAlignment="1">
      <alignment horizontal="center" vertical="center"/>
    </xf>
    <xf numFmtId="0" fontId="101" fillId="0" borderId="1" xfId="8" applyFont="1" applyBorder="1" applyAlignment="1">
      <alignment horizontal="center" vertical="center"/>
    </xf>
    <xf numFmtId="0" fontId="9" fillId="0" borderId="0" xfId="8" applyFont="1" applyAlignment="1">
      <alignment horizontal="right"/>
    </xf>
    <xf numFmtId="0" fontId="50" fillId="0" borderId="0" xfId="8" applyFont="1" applyAlignment="1">
      <alignment horizontal="center"/>
    </xf>
    <xf numFmtId="0" fontId="139" fillId="0" borderId="0" xfId="8" applyFont="1" applyAlignment="1">
      <alignment horizontal="center"/>
    </xf>
    <xf numFmtId="3" fontId="140" fillId="0" borderId="0" xfId="113" applyNumberFormat="1" applyFont="1" applyAlignment="1">
      <alignment horizontal="center" vertical="center" readingOrder="2"/>
    </xf>
    <xf numFmtId="3" fontId="16" fillId="0" borderId="0" xfId="113" applyNumberFormat="1" applyFont="1" applyAlignment="1">
      <alignment horizontal="center" vertical="center" readingOrder="2"/>
    </xf>
    <xf numFmtId="0" fontId="32" fillId="0" borderId="124" xfId="8" applyFont="1" applyBorder="1" applyAlignment="1">
      <alignment horizontal="right" vertical="center"/>
    </xf>
    <xf numFmtId="0" fontId="143" fillId="0" borderId="0" xfId="113" applyFont="1" applyAlignment="1">
      <alignment horizontal="center" vertical="center"/>
    </xf>
    <xf numFmtId="0" fontId="201" fillId="3" borderId="126" xfId="113" applyFont="1" applyFill="1" applyBorder="1" applyAlignment="1">
      <alignment horizontal="center" vertical="center" wrapText="1"/>
    </xf>
    <xf numFmtId="0" fontId="201" fillId="3" borderId="127" xfId="113" applyFont="1" applyFill="1" applyBorder="1" applyAlignment="1">
      <alignment horizontal="center" vertical="center" wrapText="1"/>
    </xf>
    <xf numFmtId="0" fontId="201" fillId="3" borderId="128" xfId="113" applyFont="1" applyFill="1" applyBorder="1" applyAlignment="1">
      <alignment horizontal="center" vertical="center" wrapText="1"/>
    </xf>
    <xf numFmtId="0" fontId="146" fillId="0" borderId="0" xfId="22" applyFont="1" applyAlignment="1">
      <alignment horizontal="right" wrapText="1" readingOrder="2"/>
    </xf>
    <xf numFmtId="0" fontId="146" fillId="0" borderId="0" xfId="22" applyFont="1" applyAlignment="1">
      <alignment horizontal="right" readingOrder="2"/>
    </xf>
    <xf numFmtId="0" fontId="146" fillId="0" borderId="0" xfId="116" applyFont="1" applyAlignment="1">
      <alignment horizontal="right" readingOrder="2"/>
    </xf>
    <xf numFmtId="0" fontId="145" fillId="0" borderId="0" xfId="8" applyFont="1" applyAlignment="1">
      <alignment horizontal="center" vertical="center"/>
    </xf>
    <xf numFmtId="0" fontId="146" fillId="0" borderId="0" xfId="116" applyFont="1" applyAlignment="1">
      <alignment horizontal="right" vertical="center" wrapText="1" readingOrder="2"/>
    </xf>
    <xf numFmtId="0" fontId="146" fillId="0" borderId="0" xfId="116" applyFont="1" applyAlignment="1">
      <alignment horizontal="right" vertical="center" readingOrder="2"/>
    </xf>
    <xf numFmtId="0" fontId="146" fillId="0" borderId="0" xfId="8" applyFont="1" applyAlignment="1">
      <alignment horizontal="right" vertical="center" readingOrder="2"/>
    </xf>
    <xf numFmtId="0" fontId="179" fillId="0" borderId="0" xfId="133" applyFont="1" applyAlignment="1">
      <alignment horizontal="center" vertical="center"/>
    </xf>
    <xf numFmtId="0" fontId="82" fillId="0" borderId="0" xfId="137" applyFont="1" applyAlignment="1">
      <alignment horizontal="center"/>
    </xf>
    <xf numFmtId="0" fontId="9" fillId="0" borderId="0" xfId="8" applyFont="1" applyAlignment="1">
      <alignment horizontal="right" vertical="center" wrapText="1" readingOrder="2"/>
    </xf>
    <xf numFmtId="0" fontId="37" fillId="28" borderId="5" xfId="8" applyFont="1" applyFill="1" applyBorder="1" applyAlignment="1">
      <alignment horizontal="right" vertical="center" indent="1"/>
    </xf>
    <xf numFmtId="0" fontId="37" fillId="28" borderId="0" xfId="8" applyFont="1" applyFill="1" applyAlignment="1">
      <alignment horizontal="right" vertical="center" indent="1"/>
    </xf>
    <xf numFmtId="0" fontId="37" fillId="28" borderId="7" xfId="8" applyFont="1" applyFill="1" applyBorder="1" applyAlignment="1">
      <alignment horizontal="right" vertical="center" indent="1"/>
    </xf>
    <xf numFmtId="0" fontId="12" fillId="28" borderId="5" xfId="8" applyFont="1" applyFill="1" applyBorder="1" applyAlignment="1">
      <alignment horizontal="center" vertical="center"/>
    </xf>
    <xf numFmtId="0" fontId="12" fillId="28" borderId="0" xfId="8" applyFont="1" applyFill="1" applyAlignment="1">
      <alignment horizontal="center" vertical="center"/>
    </xf>
    <xf numFmtId="0" fontId="12" fillId="28" borderId="7" xfId="8" applyFont="1" applyFill="1" applyBorder="1" applyAlignment="1">
      <alignment horizontal="center" vertical="center"/>
    </xf>
    <xf numFmtId="0" fontId="75" fillId="0" borderId="20" xfId="8" applyFont="1" applyBorder="1" applyAlignment="1">
      <alignment horizontal="right" vertical="top" wrapText="1"/>
    </xf>
    <xf numFmtId="0" fontId="10" fillId="0" borderId="0" xfId="8" applyFont="1" applyBorder="1" applyAlignment="1">
      <alignment horizontal="center" vertical="center" wrapText="1"/>
    </xf>
    <xf numFmtId="0" fontId="12" fillId="20" borderId="2" xfId="8" applyFont="1" applyFill="1" applyBorder="1" applyAlignment="1">
      <alignment horizontal="center" vertical="center"/>
    </xf>
    <xf numFmtId="0" fontId="12" fillId="20" borderId="20" xfId="8" applyFont="1" applyFill="1" applyBorder="1" applyAlignment="1">
      <alignment horizontal="center" vertical="center"/>
    </xf>
    <xf numFmtId="0" fontId="12" fillId="20" borderId="4" xfId="8" applyFont="1" applyFill="1" applyBorder="1" applyAlignment="1">
      <alignment horizontal="center" vertical="center"/>
    </xf>
    <xf numFmtId="0" fontId="12" fillId="20" borderId="17" xfId="8" applyFont="1" applyFill="1" applyBorder="1" applyAlignment="1">
      <alignment horizontal="center" vertical="center"/>
    </xf>
    <xf numFmtId="0" fontId="12" fillId="20" borderId="1" xfId="8" applyFont="1" applyFill="1" applyBorder="1" applyAlignment="1">
      <alignment horizontal="center" vertical="center"/>
    </xf>
    <xf numFmtId="0" fontId="12" fillId="20" borderId="19" xfId="8" applyFont="1" applyFill="1" applyBorder="1" applyAlignment="1">
      <alignment horizontal="center" vertical="center"/>
    </xf>
    <xf numFmtId="0" fontId="12" fillId="20" borderId="94" xfId="8" applyFont="1" applyFill="1" applyBorder="1" applyAlignment="1">
      <alignment horizontal="center" vertical="center"/>
    </xf>
    <xf numFmtId="0" fontId="12" fillId="20" borderId="10" xfId="8" applyFont="1" applyFill="1" applyBorder="1" applyAlignment="1">
      <alignment horizontal="center" vertical="center"/>
    </xf>
    <xf numFmtId="0" fontId="40" fillId="0" borderId="0" xfId="22" applyFont="1" applyAlignment="1">
      <alignment horizontal="right"/>
    </xf>
    <xf numFmtId="0" fontId="103" fillId="0" borderId="0" xfId="22" applyFont="1" applyAlignment="1">
      <alignment horizontal="center" vertical="center"/>
    </xf>
    <xf numFmtId="0" fontId="118" fillId="0" borderId="1" xfId="22" applyFont="1" applyBorder="1" applyAlignment="1">
      <alignment horizontal="left" vertical="center"/>
    </xf>
    <xf numFmtId="0" fontId="12" fillId="0" borderId="3" xfId="22" applyFont="1" applyBorder="1" applyAlignment="1">
      <alignment horizontal="center" vertical="center"/>
    </xf>
    <xf numFmtId="0" fontId="12" fillId="0" borderId="18" xfId="22" applyFont="1" applyBorder="1" applyAlignment="1">
      <alignment horizontal="center" vertical="center"/>
    </xf>
    <xf numFmtId="0" fontId="11" fillId="0" borderId="71" xfId="22" applyFont="1" applyBorder="1" applyAlignment="1">
      <alignment horizontal="center" vertical="center"/>
    </xf>
    <xf numFmtId="0" fontId="11" fillId="0" borderId="46" xfId="22" applyFont="1" applyBorder="1" applyAlignment="1">
      <alignment horizontal="center" vertical="center"/>
    </xf>
    <xf numFmtId="0" fontId="12" fillId="0" borderId="8" xfId="22" applyFont="1" applyBorder="1" applyAlignment="1">
      <alignment horizontal="center" vertical="center"/>
    </xf>
    <xf numFmtId="0" fontId="12" fillId="0" borderId="14" xfId="22" applyFont="1" applyBorder="1" applyAlignment="1">
      <alignment horizontal="center" vertical="center"/>
    </xf>
    <xf numFmtId="0" fontId="12" fillId="0" borderId="9" xfId="22" applyFont="1" applyBorder="1" applyAlignment="1">
      <alignment horizontal="center" vertical="center"/>
    </xf>
    <xf numFmtId="0" fontId="12" fillId="0" borderId="15" xfId="22" applyFont="1" applyBorder="1" applyAlignment="1">
      <alignment horizontal="center" vertical="center"/>
    </xf>
    <xf numFmtId="0" fontId="9" fillId="0" borderId="0" xfId="8" applyFont="1" applyAlignment="1">
      <alignment horizontal="right" vertical="center" wrapText="1"/>
    </xf>
    <xf numFmtId="0" fontId="12" fillId="0" borderId="5" xfId="22" applyFont="1" applyBorder="1" applyAlignment="1">
      <alignment horizontal="center" vertical="center"/>
    </xf>
    <xf numFmtId="0" fontId="12" fillId="0" borderId="7" xfId="22" applyFont="1" applyBorder="1" applyAlignment="1">
      <alignment horizontal="center" vertical="center"/>
    </xf>
    <xf numFmtId="0" fontId="12" fillId="0" borderId="65" xfId="22" applyFont="1" applyBorder="1" applyAlignment="1">
      <alignment horizontal="center" vertical="center"/>
    </xf>
    <xf numFmtId="0" fontId="12" fillId="0" borderId="66" xfId="22" applyFont="1" applyBorder="1" applyAlignment="1">
      <alignment horizontal="center" vertical="center"/>
    </xf>
    <xf numFmtId="0" fontId="75" fillId="0" borderId="20" xfId="22" applyFont="1" applyBorder="1" applyAlignment="1">
      <alignment horizontal="right" vertical="top" wrapText="1"/>
    </xf>
    <xf numFmtId="0" fontId="75" fillId="0" borderId="0" xfId="22" applyFont="1" applyAlignment="1">
      <alignment horizontal="right" vertical="center" wrapText="1" readingOrder="2"/>
    </xf>
    <xf numFmtId="0" fontId="12" fillId="0" borderId="5" xfId="22" applyFont="1" applyBorder="1" applyAlignment="1">
      <alignment horizontal="center" vertical="center" readingOrder="2"/>
    </xf>
    <xf numFmtId="0" fontId="12" fillId="0" borderId="7" xfId="22" applyFont="1" applyBorder="1" applyAlignment="1">
      <alignment horizontal="center" vertical="center" readingOrder="2"/>
    </xf>
    <xf numFmtId="3" fontId="31" fillId="0" borderId="0" xfId="22" applyNumberFormat="1" applyFont="1" applyAlignment="1">
      <alignment horizontal="center" vertical="center" wrapText="1"/>
    </xf>
    <xf numFmtId="0" fontId="40" fillId="0" borderId="20" xfId="22" applyFont="1" applyBorder="1" applyAlignment="1">
      <alignment horizontal="right" vertical="top" wrapText="1"/>
    </xf>
    <xf numFmtId="0" fontId="22" fillId="2" borderId="1" xfId="22" applyFont="1" applyFill="1" applyBorder="1" applyAlignment="1">
      <alignment horizontal="center" vertical="center"/>
    </xf>
    <xf numFmtId="0" fontId="12" fillId="0" borderId="17" xfId="22" applyFont="1" applyBorder="1" applyAlignment="1">
      <alignment horizontal="center" vertical="center"/>
    </xf>
    <xf numFmtId="0" fontId="12" fillId="0" borderId="19" xfId="22" applyFont="1" applyBorder="1" applyAlignment="1">
      <alignment horizontal="center" vertical="center"/>
    </xf>
    <xf numFmtId="0" fontId="21" fillId="0" borderId="65" xfId="22" applyFont="1" applyBorder="1" applyAlignment="1">
      <alignment horizontal="center" vertical="center"/>
    </xf>
    <xf numFmtId="0" fontId="21" fillId="0" borderId="66" xfId="22" applyFont="1" applyBorder="1" applyAlignment="1">
      <alignment horizontal="center" vertical="center"/>
    </xf>
    <xf numFmtId="0" fontId="37" fillId="0" borderId="2" xfId="22" applyFont="1" applyBorder="1" applyAlignment="1">
      <alignment horizontal="right" vertical="center" indent="1"/>
    </xf>
    <xf numFmtId="0" fontId="37" fillId="0" borderId="4" xfId="22" applyFont="1" applyBorder="1" applyAlignment="1">
      <alignment horizontal="right" vertical="center" indent="1"/>
    </xf>
    <xf numFmtId="0" fontId="12" fillId="0" borderId="5" xfId="8" applyFont="1" applyBorder="1" applyAlignment="1">
      <alignment horizontal="center" vertical="center"/>
    </xf>
    <xf numFmtId="0" fontId="12" fillId="0" borderId="7" xfId="8" applyFont="1" applyBorder="1" applyAlignment="1">
      <alignment horizontal="center" vertical="center"/>
    </xf>
    <xf numFmtId="0" fontId="12" fillId="0" borderId="65" xfId="8" applyFont="1" applyBorder="1" applyAlignment="1">
      <alignment horizontal="center" vertical="center"/>
    </xf>
    <xf numFmtId="0" fontId="12" fillId="0" borderId="66" xfId="8" applyFont="1" applyBorder="1" applyAlignment="1">
      <alignment horizontal="center" vertical="center"/>
    </xf>
    <xf numFmtId="0" fontId="37" fillId="0" borderId="52" xfId="22" applyFont="1" applyBorder="1" applyAlignment="1">
      <alignment horizontal="right" vertical="center" indent="1"/>
    </xf>
    <xf numFmtId="0" fontId="37" fillId="0" borderId="34" xfId="22" applyFont="1" applyBorder="1" applyAlignment="1">
      <alignment horizontal="right" vertical="center" indent="1"/>
    </xf>
    <xf numFmtId="0" fontId="140" fillId="0" borderId="0" xfId="8" applyFont="1" applyAlignment="1">
      <alignment horizontal="center" vertical="center"/>
    </xf>
    <xf numFmtId="0" fontId="12" fillId="0" borderId="0" xfId="8" applyFont="1" applyAlignment="1">
      <alignment horizontal="right" vertical="top" wrapText="1"/>
    </xf>
    <xf numFmtId="0" fontId="12" fillId="0" borderId="0" xfId="8" applyFont="1" applyAlignment="1">
      <alignment horizontal="right" vertical="top"/>
    </xf>
    <xf numFmtId="0" fontId="24" fillId="0" borderId="0" xfId="8" applyFont="1" applyFill="1" applyBorder="1" applyAlignment="1">
      <alignment horizontal="right" vertical="center" wrapText="1" readingOrder="2"/>
    </xf>
    <xf numFmtId="0" fontId="206" fillId="0" borderId="0" xfId="205" applyFont="1" applyAlignment="1">
      <alignment horizontal="right" vertical="center" wrapText="1" readingOrder="2"/>
    </xf>
    <xf numFmtId="0" fontId="207" fillId="0" borderId="0" xfId="205" applyFont="1" applyAlignment="1">
      <alignment horizontal="right" vertical="center" wrapText="1"/>
    </xf>
    <xf numFmtId="0" fontId="36" fillId="0" borderId="95" xfId="8" applyFont="1" applyFill="1" applyBorder="1" applyAlignment="1">
      <alignment horizontal="center" vertical="center"/>
    </xf>
    <xf numFmtId="0" fontId="82" fillId="0" borderId="0" xfId="8" applyFont="1" applyFill="1" applyBorder="1" applyAlignment="1">
      <alignment horizontal="right" vertical="center" wrapText="1"/>
    </xf>
    <xf numFmtId="0" fontId="204" fillId="30" borderId="21" xfId="0" applyFont="1" applyFill="1" applyBorder="1" applyAlignment="1">
      <alignment horizontal="center" vertical="center"/>
    </xf>
    <xf numFmtId="0" fontId="204" fillId="30" borderId="30" xfId="0" applyFont="1" applyFill="1" applyBorder="1" applyAlignment="1">
      <alignment horizontal="center" vertical="center"/>
    </xf>
    <xf numFmtId="0" fontId="204" fillId="30" borderId="22" xfId="0" applyFont="1" applyFill="1" applyBorder="1" applyAlignment="1">
      <alignment horizontal="center" vertical="center"/>
    </xf>
    <xf numFmtId="0" fontId="204" fillId="0" borderId="0" xfId="4" applyFont="1" applyFill="1" applyBorder="1" applyAlignment="1">
      <alignment horizontal="center" vertical="center" wrapText="1"/>
    </xf>
    <xf numFmtId="0" fontId="32" fillId="0" borderId="155" xfId="8" applyFont="1" applyBorder="1" applyAlignment="1">
      <alignment horizontal="center" vertical="center"/>
    </xf>
    <xf numFmtId="0" fontId="32" fillId="0" borderId="156" xfId="8" applyFont="1" applyBorder="1" applyAlignment="1">
      <alignment horizontal="center" vertical="center"/>
    </xf>
    <xf numFmtId="0" fontId="32" fillId="0" borderId="146" xfId="8" applyFont="1" applyBorder="1" applyAlignment="1">
      <alignment horizontal="center" vertical="center"/>
    </xf>
    <xf numFmtId="0" fontId="75" fillId="0" borderId="0" xfId="137" applyFont="1" applyAlignment="1">
      <alignment horizontal="center"/>
    </xf>
    <xf numFmtId="0" fontId="9" fillId="0" borderId="42" xfId="137" applyFont="1" applyBorder="1" applyAlignment="1">
      <alignment horizontal="center"/>
    </xf>
    <xf numFmtId="0" fontId="9" fillId="0" borderId="44" xfId="137" applyFont="1" applyBorder="1" applyAlignment="1">
      <alignment horizontal="center"/>
    </xf>
    <xf numFmtId="0" fontId="50" fillId="0" borderId="1" xfId="137" applyFont="1" applyBorder="1" applyAlignment="1">
      <alignment horizontal="center" vertical="center"/>
    </xf>
    <xf numFmtId="0" fontId="50" fillId="0" borderId="0" xfId="137" applyFont="1" applyAlignment="1">
      <alignment horizontal="center" vertical="center"/>
    </xf>
    <xf numFmtId="0" fontId="43" fillId="0" borderId="21" xfId="137" applyFont="1" applyBorder="1" applyAlignment="1">
      <alignment horizontal="center" vertical="center"/>
    </xf>
    <xf numFmtId="0" fontId="43" fillId="0" borderId="30" xfId="137" applyFont="1" applyBorder="1" applyAlignment="1">
      <alignment horizontal="center" vertical="center"/>
    </xf>
    <xf numFmtId="0" fontId="43" fillId="0" borderId="10" xfId="137" applyFont="1" applyBorder="1" applyAlignment="1">
      <alignment horizontal="center" vertical="center" textRotation="90"/>
    </xf>
    <xf numFmtId="0" fontId="43" fillId="0" borderId="16" xfId="137" applyFont="1" applyBorder="1" applyAlignment="1">
      <alignment horizontal="center" vertical="center" textRotation="90"/>
    </xf>
    <xf numFmtId="0" fontId="12" fillId="20" borderId="94" xfId="8" applyFont="1" applyFill="1" applyBorder="1" applyAlignment="1">
      <alignment horizontal="center" vertical="center" textRotation="90"/>
    </xf>
    <xf numFmtId="0" fontId="12" fillId="20" borderId="90" xfId="8" applyFont="1" applyFill="1" applyBorder="1" applyAlignment="1">
      <alignment horizontal="center" vertical="center" textRotation="90"/>
    </xf>
    <xf numFmtId="0" fontId="12" fillId="20" borderId="9" xfId="8" applyFont="1" applyFill="1" applyBorder="1" applyAlignment="1">
      <alignment horizontal="center" vertical="center" textRotation="90" wrapText="1"/>
    </xf>
    <xf numFmtId="0" fontId="12" fillId="20" borderId="15" xfId="8" applyFont="1" applyFill="1" applyBorder="1" applyAlignment="1">
      <alignment horizontal="center" vertical="center" textRotation="90" wrapText="1"/>
    </xf>
    <xf numFmtId="0" fontId="40" fillId="0" borderId="0" xfId="8" applyFont="1" applyAlignment="1">
      <alignment horizontal="right" vertical="center" wrapText="1"/>
    </xf>
    <xf numFmtId="0" fontId="17" fillId="0" borderId="0" xfId="8" applyFont="1" applyAlignment="1">
      <alignment horizontal="right" vertical="center" wrapText="1"/>
    </xf>
    <xf numFmtId="0" fontId="37" fillId="0" borderId="1" xfId="8" applyFont="1" applyBorder="1" applyAlignment="1">
      <alignment horizontal="left" vertical="center"/>
    </xf>
    <xf numFmtId="0" fontId="12" fillId="20" borderId="9" xfId="8" applyFont="1" applyFill="1" applyBorder="1" applyAlignment="1">
      <alignment horizontal="center" vertical="center"/>
    </xf>
    <xf numFmtId="0" fontId="12" fillId="20" borderId="12" xfId="8" applyFont="1" applyFill="1" applyBorder="1" applyAlignment="1">
      <alignment horizontal="center" vertical="center"/>
    </xf>
    <xf numFmtId="0" fontId="12" fillId="20" borderId="15" xfId="8" applyFont="1" applyFill="1" applyBorder="1" applyAlignment="1">
      <alignment horizontal="center" vertical="center"/>
    </xf>
    <xf numFmtId="0" fontId="12" fillId="20" borderId="60" xfId="8" applyFont="1" applyFill="1" applyBorder="1" applyAlignment="1">
      <alignment horizontal="center" vertical="center"/>
    </xf>
    <xf numFmtId="0" fontId="12" fillId="20" borderId="61" xfId="8" applyFont="1" applyFill="1" applyBorder="1" applyAlignment="1">
      <alignment horizontal="center" vertical="center"/>
    </xf>
    <xf numFmtId="0" fontId="12" fillId="20" borderId="47" xfId="8" applyFont="1" applyFill="1" applyBorder="1" applyAlignment="1">
      <alignment horizontal="center" vertical="center"/>
    </xf>
    <xf numFmtId="0" fontId="12" fillId="20" borderId="70" xfId="8" applyFont="1" applyFill="1" applyBorder="1" applyAlignment="1">
      <alignment horizontal="center" vertical="center"/>
    </xf>
    <xf numFmtId="0" fontId="12" fillId="20" borderId="10" xfId="8" applyFont="1" applyFill="1" applyBorder="1" applyAlignment="1">
      <alignment horizontal="center" vertical="center" textRotation="90"/>
    </xf>
    <xf numFmtId="0" fontId="12" fillId="20" borderId="13" xfId="8" applyFont="1" applyFill="1" applyBorder="1" applyAlignment="1">
      <alignment horizontal="center" vertical="center" textRotation="90"/>
    </xf>
    <xf numFmtId="0" fontId="12" fillId="20" borderId="16" xfId="8" applyFont="1" applyFill="1" applyBorder="1" applyAlignment="1">
      <alignment horizontal="center" vertical="center" textRotation="90"/>
    </xf>
    <xf numFmtId="0" fontId="12" fillId="20" borderId="64" xfId="8" applyFont="1" applyFill="1" applyBorder="1" applyAlignment="1">
      <alignment horizontal="center" vertical="center"/>
    </xf>
    <xf numFmtId="0" fontId="12" fillId="20" borderId="46" xfId="8" applyFont="1" applyFill="1" applyBorder="1" applyAlignment="1">
      <alignment horizontal="center" vertical="center"/>
    </xf>
    <xf numFmtId="0" fontId="12" fillId="20" borderId="55" xfId="8" applyFont="1" applyFill="1" applyBorder="1" applyAlignment="1">
      <alignment horizontal="center" vertical="center"/>
    </xf>
    <xf numFmtId="0" fontId="12" fillId="20" borderId="71" xfId="8" applyFont="1" applyFill="1" applyBorder="1" applyAlignment="1">
      <alignment horizontal="center" vertical="center" textRotation="90"/>
    </xf>
    <xf numFmtId="0" fontId="12" fillId="20" borderId="91" xfId="8" applyFont="1" applyFill="1" applyBorder="1" applyAlignment="1">
      <alignment horizontal="center" vertical="center" textRotation="90"/>
    </xf>
    <xf numFmtId="0" fontId="26" fillId="2" borderId="92" xfId="123" applyFont="1" applyFill="1" applyBorder="1" applyAlignment="1">
      <alignment horizontal="center" vertical="center"/>
    </xf>
    <xf numFmtId="0" fontId="150" fillId="2" borderId="64" xfId="122" applyFont="1" applyFill="1" applyBorder="1" applyAlignment="1">
      <alignment horizontal="center" vertical="center"/>
    </xf>
    <xf numFmtId="0" fontId="150" fillId="2" borderId="57" xfId="122" applyFont="1" applyFill="1" applyBorder="1" applyAlignment="1">
      <alignment horizontal="center" vertical="center"/>
    </xf>
    <xf numFmtId="0" fontId="9" fillId="2" borderId="42" xfId="1" applyFont="1" applyFill="1" applyBorder="1" applyAlignment="1">
      <alignment horizontal="center"/>
    </xf>
    <xf numFmtId="0" fontId="9" fillId="2" borderId="43" xfId="1" applyFont="1" applyFill="1" applyBorder="1" applyAlignment="1">
      <alignment horizontal="center"/>
    </xf>
    <xf numFmtId="0" fontId="9" fillId="2" borderId="44" xfId="1" applyFont="1" applyFill="1" applyBorder="1" applyAlignment="1">
      <alignment horizontal="center"/>
    </xf>
    <xf numFmtId="0" fontId="13" fillId="0" borderId="0" xfId="122" applyFont="1" applyAlignment="1">
      <alignment horizontal="right" vertical="center" readingOrder="2"/>
    </xf>
    <xf numFmtId="0" fontId="26" fillId="2" borderId="24" xfId="123" applyFont="1" applyFill="1" applyBorder="1" applyAlignment="1">
      <alignment horizontal="right" vertical="center"/>
    </xf>
    <xf numFmtId="0" fontId="26" fillId="2" borderId="26" xfId="123" applyFont="1" applyFill="1" applyBorder="1" applyAlignment="1">
      <alignment horizontal="right" vertical="center"/>
    </xf>
    <xf numFmtId="0" fontId="49" fillId="2" borderId="42" xfId="123" applyFont="1" applyFill="1" applyBorder="1" applyAlignment="1">
      <alignment horizontal="right" vertical="center"/>
    </xf>
    <xf numFmtId="0" fontId="49" fillId="2" borderId="43" xfId="123" applyFont="1" applyFill="1" applyBorder="1" applyAlignment="1">
      <alignment horizontal="right" vertical="center"/>
    </xf>
    <xf numFmtId="0" fontId="49" fillId="2" borderId="44" xfId="123" applyFont="1" applyFill="1" applyBorder="1" applyAlignment="1">
      <alignment horizontal="right" vertical="center"/>
    </xf>
    <xf numFmtId="0" fontId="49" fillId="2" borderId="42" xfId="123" applyFont="1" applyFill="1" applyBorder="1" applyAlignment="1">
      <alignment horizontal="right" vertical="top" wrapText="1"/>
    </xf>
    <xf numFmtId="0" fontId="49" fillId="2" borderId="43" xfId="123" applyFont="1" applyFill="1" applyBorder="1" applyAlignment="1">
      <alignment horizontal="right" vertical="top" wrapText="1"/>
    </xf>
    <xf numFmtId="0" fontId="49" fillId="2" borderId="44" xfId="123" applyFont="1" applyFill="1" applyBorder="1" applyAlignment="1">
      <alignment horizontal="right" vertical="top" wrapText="1"/>
    </xf>
    <xf numFmtId="0" fontId="26" fillId="2" borderId="39" xfId="123" applyFont="1" applyFill="1" applyBorder="1" applyAlignment="1">
      <alignment horizontal="right" vertical="center"/>
    </xf>
    <xf numFmtId="0" fontId="26" fillId="2" borderId="40" xfId="123" applyFont="1" applyFill="1" applyBorder="1" applyAlignment="1">
      <alignment horizontal="right" vertical="center"/>
    </xf>
    <xf numFmtId="0" fontId="49" fillId="2" borderId="2" xfId="123" applyFont="1" applyFill="1" applyBorder="1" applyAlignment="1">
      <alignment horizontal="right" vertical="center"/>
    </xf>
    <xf numFmtId="0" fontId="49" fillId="2" borderId="20" xfId="123" applyFont="1" applyFill="1" applyBorder="1" applyAlignment="1">
      <alignment horizontal="right" vertical="center"/>
    </xf>
    <xf numFmtId="0" fontId="49" fillId="2" borderId="4" xfId="123" applyFont="1" applyFill="1" applyBorder="1" applyAlignment="1">
      <alignment horizontal="right" vertical="center"/>
    </xf>
    <xf numFmtId="0" fontId="149" fillId="2" borderId="63" xfId="122" applyFont="1" applyFill="1" applyBorder="1" applyAlignment="1">
      <alignment horizontal="center" vertical="center"/>
    </xf>
    <xf numFmtId="0" fontId="149" fillId="2" borderId="0" xfId="122" applyFont="1" applyFill="1" applyAlignment="1">
      <alignment horizontal="center" vertical="center"/>
    </xf>
    <xf numFmtId="0" fontId="150" fillId="2" borderId="35" xfId="122" applyFont="1" applyFill="1" applyBorder="1" applyAlignment="1">
      <alignment horizontal="center" vertical="center"/>
    </xf>
    <xf numFmtId="0" fontId="150" fillId="2" borderId="36" xfId="122" applyFont="1" applyFill="1" applyBorder="1" applyAlignment="1">
      <alignment horizontal="center" vertical="center"/>
    </xf>
    <xf numFmtId="0" fontId="150" fillId="2" borderId="2" xfId="122" applyFont="1" applyFill="1" applyBorder="1" applyAlignment="1">
      <alignment horizontal="center" vertical="center"/>
    </xf>
    <xf numFmtId="0" fontId="150" fillId="2" borderId="20" xfId="122" applyFont="1" applyFill="1" applyBorder="1" applyAlignment="1">
      <alignment horizontal="center" vertical="center"/>
    </xf>
    <xf numFmtId="0" fontId="150" fillId="2" borderId="4" xfId="122" applyFont="1" applyFill="1" applyBorder="1" applyAlignment="1">
      <alignment horizontal="center" vertical="center"/>
    </xf>
    <xf numFmtId="0" fontId="26" fillId="2" borderId="37" xfId="123" applyFont="1" applyFill="1" applyBorder="1" applyAlignment="1">
      <alignment horizontal="right" vertical="center"/>
    </xf>
    <xf numFmtId="0" fontId="26" fillId="2" borderId="38" xfId="123" applyFont="1" applyFill="1" applyBorder="1" applyAlignment="1">
      <alignment horizontal="right" vertical="center"/>
    </xf>
    <xf numFmtId="0" fontId="49" fillId="2" borderId="42" xfId="123" applyFont="1" applyFill="1" applyBorder="1" applyAlignment="1">
      <alignment horizontal="right" vertical="center" wrapText="1"/>
    </xf>
    <xf numFmtId="0" fontId="49" fillId="2" borderId="43" xfId="123" applyFont="1" applyFill="1" applyBorder="1" applyAlignment="1">
      <alignment horizontal="right" vertical="center" wrapText="1"/>
    </xf>
    <xf numFmtId="0" fontId="49" fillId="2" borderId="44" xfId="123" applyFont="1" applyFill="1" applyBorder="1" applyAlignment="1">
      <alignment horizontal="right" vertical="center" wrapText="1"/>
    </xf>
    <xf numFmtId="0" fontId="9" fillId="0" borderId="0" xfId="8" applyFont="1" applyAlignment="1">
      <alignment horizontal="right" vertical="center" readingOrder="2"/>
    </xf>
    <xf numFmtId="0" fontId="77" fillId="0" borderId="0" xfId="139" applyFont="1" applyAlignment="1">
      <alignment horizontal="center"/>
    </xf>
    <xf numFmtId="0" fontId="21" fillId="2" borderId="1" xfId="139" applyFont="1" applyFill="1" applyBorder="1" applyAlignment="1">
      <alignment horizontal="center" vertical="center"/>
    </xf>
    <xf numFmtId="0" fontId="11" fillId="20" borderId="3" xfId="139" applyFont="1" applyFill="1" applyBorder="1" applyAlignment="1">
      <alignment horizontal="center" vertical="center" wrapText="1"/>
    </xf>
    <xf numFmtId="0" fontId="11" fillId="20" borderId="76" xfId="139" applyFont="1" applyFill="1" applyBorder="1" applyAlignment="1">
      <alignment horizontal="center" vertical="center" wrapText="1"/>
    </xf>
    <xf numFmtId="0" fontId="11" fillId="20" borderId="42" xfId="139" applyFont="1" applyFill="1" applyBorder="1" applyAlignment="1">
      <alignment horizontal="center" vertical="center" wrapText="1"/>
    </xf>
    <xf numFmtId="0" fontId="11" fillId="20" borderId="43" xfId="139" applyFont="1" applyFill="1" applyBorder="1" applyAlignment="1">
      <alignment horizontal="center" vertical="center" wrapText="1"/>
    </xf>
    <xf numFmtId="0" fontId="11" fillId="20" borderId="44" xfId="139" applyFont="1" applyFill="1" applyBorder="1" applyAlignment="1">
      <alignment horizontal="center" vertical="center" wrapText="1"/>
    </xf>
    <xf numFmtId="0" fontId="16" fillId="20" borderId="3" xfId="139" applyFont="1" applyFill="1" applyBorder="1" applyAlignment="1">
      <alignment horizontal="center" vertical="center" wrapText="1"/>
    </xf>
    <xf numFmtId="0" fontId="16" fillId="20" borderId="18" xfId="139" applyFont="1" applyFill="1" applyBorder="1" applyAlignment="1">
      <alignment horizontal="center" vertical="center" wrapText="1"/>
    </xf>
    <xf numFmtId="0" fontId="35" fillId="28" borderId="24" xfId="138" applyFont="1" applyFill="1" applyBorder="1" applyAlignment="1">
      <alignment horizontal="center" vertical="center"/>
    </xf>
    <xf numFmtId="0" fontId="50" fillId="0" borderId="0" xfId="138" applyFont="1" applyAlignment="1">
      <alignment horizontal="center" vertical="center"/>
    </xf>
    <xf numFmtId="0" fontId="94" fillId="2" borderId="0" xfId="138" applyFont="1" applyFill="1" applyAlignment="1">
      <alignment horizontal="center" vertical="center"/>
    </xf>
    <xf numFmtId="0" fontId="35" fillId="28" borderId="39" xfId="138" applyFont="1" applyFill="1" applyBorder="1" applyAlignment="1">
      <alignment horizontal="center" vertical="center"/>
    </xf>
    <xf numFmtId="0" fontId="35" fillId="28" borderId="77" xfId="138" applyFont="1" applyFill="1" applyBorder="1" applyAlignment="1">
      <alignment horizontal="center" vertical="center"/>
    </xf>
    <xf numFmtId="0" fontId="35" fillId="28" borderId="37" xfId="138" applyFont="1" applyFill="1" applyBorder="1" applyAlignment="1">
      <alignment horizontal="center" vertical="center"/>
    </xf>
    <xf numFmtId="0" fontId="36" fillId="0" borderId="1" xfId="8" applyFont="1" applyBorder="1" applyAlignment="1">
      <alignment horizontal="center" vertical="center"/>
    </xf>
    <xf numFmtId="0" fontId="186" fillId="20" borderId="199" xfId="134" applyFont="1" applyFill="1" applyBorder="1" applyAlignment="1">
      <alignment horizontal="center" vertical="center"/>
    </xf>
    <xf numFmtId="0" fontId="186" fillId="20" borderId="203" xfId="134" applyFont="1" applyFill="1" applyBorder="1" applyAlignment="1">
      <alignment horizontal="center" vertical="center"/>
    </xf>
    <xf numFmtId="0" fontId="186" fillId="20" borderId="204" xfId="134" applyFont="1" applyFill="1" applyBorder="1" applyAlignment="1">
      <alignment horizontal="center" vertical="center"/>
    </xf>
    <xf numFmtId="0" fontId="18" fillId="20" borderId="200" xfId="134" applyFont="1" applyFill="1" applyBorder="1" applyAlignment="1">
      <alignment horizontal="center" vertical="center"/>
    </xf>
    <xf numFmtId="0" fontId="18" fillId="20" borderId="201" xfId="134" applyFont="1" applyFill="1" applyBorder="1" applyAlignment="1">
      <alignment horizontal="center" vertical="center"/>
    </xf>
    <xf numFmtId="0" fontId="18" fillId="20" borderId="202" xfId="134" applyFont="1" applyFill="1" applyBorder="1" applyAlignment="1">
      <alignment horizontal="center" vertical="center"/>
    </xf>
    <xf numFmtId="0" fontId="18" fillId="20" borderId="2" xfId="134" applyFont="1" applyFill="1" applyBorder="1" applyAlignment="1">
      <alignment horizontal="center" vertical="center"/>
    </xf>
    <xf numFmtId="0" fontId="18" fillId="20" borderId="4" xfId="134" applyFont="1" applyFill="1" applyBorder="1" applyAlignment="1">
      <alignment horizontal="center" vertical="center"/>
    </xf>
    <xf numFmtId="0" fontId="18" fillId="20" borderId="65" xfId="134" applyFont="1" applyFill="1" applyBorder="1" applyAlignment="1">
      <alignment horizontal="center" vertical="center"/>
    </xf>
    <xf numFmtId="0" fontId="18" fillId="20" borderId="66" xfId="134" applyFont="1" applyFill="1" applyBorder="1" applyAlignment="1">
      <alignment horizontal="center" vertical="center"/>
    </xf>
    <xf numFmtId="0" fontId="18" fillId="20" borderId="11" xfId="134" applyFont="1" applyFill="1" applyBorder="1" applyAlignment="1">
      <alignment horizontal="center" vertical="center"/>
    </xf>
    <xf numFmtId="0" fontId="18" fillId="20" borderId="27" xfId="134" applyFont="1" applyFill="1" applyBorder="1" applyAlignment="1">
      <alignment horizontal="center" vertical="center"/>
    </xf>
    <xf numFmtId="0" fontId="18" fillId="20" borderId="93" xfId="134" applyFont="1" applyFill="1" applyBorder="1" applyAlignment="1">
      <alignment horizontal="center" vertical="center"/>
    </xf>
    <xf numFmtId="0" fontId="18" fillId="20" borderId="13" xfId="134" applyFont="1" applyFill="1" applyBorder="1" applyAlignment="1">
      <alignment horizontal="center" vertical="center"/>
    </xf>
    <xf numFmtId="0" fontId="35" fillId="0" borderId="35" xfId="23" applyFont="1" applyBorder="1" applyAlignment="1">
      <alignment horizontal="center" vertical="center"/>
    </xf>
    <xf numFmtId="0" fontId="35" fillId="0" borderId="48" xfId="23" applyFont="1" applyBorder="1" applyAlignment="1">
      <alignment horizontal="center" vertical="center"/>
    </xf>
    <xf numFmtId="0" fontId="35" fillId="0" borderId="41" xfId="23" applyFont="1" applyBorder="1" applyAlignment="1">
      <alignment horizontal="center" vertical="center"/>
    </xf>
    <xf numFmtId="0" fontId="194" fillId="28" borderId="64" xfId="23" applyFont="1" applyFill="1" applyBorder="1" applyAlignment="1">
      <alignment horizontal="center" vertical="center"/>
    </xf>
    <xf numFmtId="0" fontId="194" fillId="28" borderId="58" xfId="23" applyFont="1" applyFill="1" applyBorder="1" applyAlignment="1">
      <alignment horizontal="center" vertical="center"/>
    </xf>
    <xf numFmtId="0" fontId="194" fillId="28" borderId="59" xfId="23" applyFont="1" applyFill="1" applyBorder="1" applyAlignment="1">
      <alignment horizontal="center" vertical="center"/>
    </xf>
    <xf numFmtId="0" fontId="140" fillId="20" borderId="35" xfId="23" applyFont="1" applyFill="1" applyBorder="1" applyAlignment="1">
      <alignment horizontal="center" vertical="center"/>
    </xf>
    <xf numFmtId="0" fontId="140" fillId="20" borderId="48" xfId="23" applyFont="1" applyFill="1" applyBorder="1" applyAlignment="1">
      <alignment horizontal="center" vertical="center"/>
    </xf>
    <xf numFmtId="0" fontId="140" fillId="20" borderId="36" xfId="23" applyFont="1" applyFill="1" applyBorder="1" applyAlignment="1">
      <alignment horizontal="center" vertical="center"/>
    </xf>
    <xf numFmtId="0" fontId="35" fillId="0" borderId="8" xfId="23" applyFont="1" applyBorder="1" applyAlignment="1">
      <alignment horizontal="center" vertical="center" wrapText="1"/>
    </xf>
    <xf numFmtId="0" fontId="35" fillId="0" borderId="94" xfId="23" applyFont="1" applyBorder="1" applyAlignment="1">
      <alignment horizontal="center" vertical="center" wrapText="1"/>
    </xf>
    <xf numFmtId="0" fontId="35" fillId="0" borderId="10" xfId="23" applyFont="1" applyBorder="1" applyAlignment="1">
      <alignment horizontal="center" vertical="center" wrapText="1"/>
    </xf>
    <xf numFmtId="0" fontId="189" fillId="0" borderId="9" xfId="23" applyFont="1" applyBorder="1" applyAlignment="1">
      <alignment horizontal="center" vertical="center"/>
    </xf>
    <xf numFmtId="0" fontId="189" fillId="0" borderId="12" xfId="23" applyFont="1" applyBorder="1" applyAlignment="1">
      <alignment horizontal="center" vertical="center"/>
    </xf>
    <xf numFmtId="0" fontId="189" fillId="0" borderId="15" xfId="23" applyFont="1" applyBorder="1" applyAlignment="1">
      <alignment horizontal="center" vertical="center"/>
    </xf>
    <xf numFmtId="0" fontId="35" fillId="0" borderId="24" xfId="23" applyFont="1" applyBorder="1" applyAlignment="1">
      <alignment horizontal="center" vertical="center"/>
    </xf>
    <xf numFmtId="0" fontId="35" fillId="0" borderId="92" xfId="23" applyFont="1" applyBorder="1" applyAlignment="1">
      <alignment horizontal="center" vertical="center"/>
    </xf>
    <xf numFmtId="0" fontId="35" fillId="0" borderId="93" xfId="23" applyFont="1" applyBorder="1" applyAlignment="1">
      <alignment horizontal="center" vertical="center"/>
    </xf>
    <xf numFmtId="0" fontId="35" fillId="0" borderId="30" xfId="23" applyFont="1" applyBorder="1" applyAlignment="1">
      <alignment horizontal="center" vertical="center"/>
    </xf>
    <xf numFmtId="0" fontId="35" fillId="0" borderId="31" xfId="23" applyFont="1" applyBorder="1" applyAlignment="1">
      <alignment horizontal="center" vertical="center"/>
    </xf>
    <xf numFmtId="0" fontId="35" fillId="0" borderId="55" xfId="23" applyFont="1" applyBorder="1" applyAlignment="1">
      <alignment horizontal="center" vertical="center"/>
    </xf>
    <xf numFmtId="0" fontId="192" fillId="20" borderId="35" xfId="23" applyFont="1" applyFill="1" applyBorder="1" applyAlignment="1">
      <alignment horizontal="center" vertical="center"/>
    </xf>
    <xf numFmtId="0" fontId="192" fillId="20" borderId="36" xfId="23" applyFont="1" applyFill="1" applyBorder="1" applyAlignment="1">
      <alignment horizontal="center" vertical="center"/>
    </xf>
    <xf numFmtId="0" fontId="142" fillId="20" borderId="35" xfId="23" applyFont="1" applyFill="1" applyBorder="1" applyAlignment="1">
      <alignment horizontal="center" vertical="center"/>
    </xf>
    <xf numFmtId="0" fontId="142" fillId="20" borderId="48" xfId="23" applyFont="1" applyFill="1" applyBorder="1" applyAlignment="1">
      <alignment horizontal="center" vertical="center"/>
    </xf>
    <xf numFmtId="0" fontId="142" fillId="20" borderId="36" xfId="23" applyFont="1" applyFill="1" applyBorder="1" applyAlignment="1">
      <alignment horizontal="center" vertical="center"/>
    </xf>
    <xf numFmtId="0" fontId="140" fillId="20" borderId="68" xfId="23" applyFont="1" applyFill="1" applyBorder="1" applyAlignment="1">
      <alignment horizontal="center" vertical="center"/>
    </xf>
    <xf numFmtId="0" fontId="189" fillId="20" borderId="22" xfId="23" applyFont="1" applyFill="1" applyBorder="1" applyAlignment="1">
      <alignment horizontal="center" vertical="center" textRotation="90" wrapText="1" readingOrder="2"/>
    </xf>
    <xf numFmtId="0" fontId="189" fillId="20" borderId="92" xfId="23" applyFont="1" applyFill="1" applyBorder="1" applyAlignment="1">
      <alignment horizontal="center" vertical="center" textRotation="90" wrapText="1" readingOrder="2"/>
    </xf>
    <xf numFmtId="0" fontId="189" fillId="20" borderId="31" xfId="23" applyFont="1" applyFill="1" applyBorder="1" applyAlignment="1">
      <alignment horizontal="center" vertical="center" textRotation="90" wrapText="1" readingOrder="2"/>
    </xf>
    <xf numFmtId="0" fontId="13" fillId="20" borderId="92" xfId="23" applyFont="1" applyFill="1" applyBorder="1" applyAlignment="1">
      <alignment horizontal="center" vertical="center" textRotation="90" wrapText="1" readingOrder="2"/>
    </xf>
    <xf numFmtId="0" fontId="13" fillId="20" borderId="31" xfId="23" applyFont="1" applyFill="1" applyBorder="1" applyAlignment="1">
      <alignment horizontal="center" vertical="center" textRotation="90" wrapText="1" readingOrder="2"/>
    </xf>
    <xf numFmtId="0" fontId="13" fillId="20" borderId="26" xfId="23" applyFont="1" applyFill="1" applyBorder="1" applyAlignment="1">
      <alignment horizontal="center" vertical="center" textRotation="90" wrapText="1" readingOrder="2"/>
    </xf>
    <xf numFmtId="0" fontId="13" fillId="20" borderId="32" xfId="23" applyFont="1" applyFill="1" applyBorder="1" applyAlignment="1">
      <alignment horizontal="center" vertical="center" textRotation="90" wrapText="1" readingOrder="2"/>
    </xf>
    <xf numFmtId="0" fontId="13" fillId="20" borderId="27" xfId="23" applyFont="1" applyFill="1" applyBorder="1" applyAlignment="1">
      <alignment horizontal="center" vertical="center" textRotation="90" wrapText="1" readingOrder="2"/>
    </xf>
    <xf numFmtId="0" fontId="13" fillId="20" borderId="91" xfId="23" applyFont="1" applyFill="1" applyBorder="1" applyAlignment="1">
      <alignment horizontal="center" vertical="center" textRotation="90" wrapText="1" readingOrder="2"/>
    </xf>
    <xf numFmtId="0" fontId="190" fillId="20" borderId="22" xfId="23" applyFont="1" applyFill="1" applyBorder="1" applyAlignment="1">
      <alignment horizontal="center" vertical="center" textRotation="90" wrapText="1" readingOrder="2"/>
    </xf>
    <xf numFmtId="0" fontId="190" fillId="20" borderId="92" xfId="23" applyFont="1" applyFill="1" applyBorder="1" applyAlignment="1">
      <alignment horizontal="center" vertical="center" textRotation="90" wrapText="1" readingOrder="2"/>
    </xf>
    <xf numFmtId="0" fontId="190" fillId="20" borderId="31" xfId="23" applyFont="1" applyFill="1" applyBorder="1" applyAlignment="1">
      <alignment horizontal="center" vertical="center" textRotation="90" wrapText="1" readingOrder="2"/>
    </xf>
    <xf numFmtId="0" fontId="189" fillId="20" borderId="61" xfId="23" applyFont="1" applyFill="1" applyBorder="1" applyAlignment="1">
      <alignment horizontal="center" vertical="center" textRotation="90" wrapText="1" readingOrder="2"/>
    </xf>
    <xf numFmtId="0" fontId="189" fillId="20" borderId="78" xfId="23" applyFont="1" applyFill="1" applyBorder="1" applyAlignment="1">
      <alignment horizontal="center" vertical="center" textRotation="90" wrapText="1" readingOrder="2"/>
    </xf>
    <xf numFmtId="0" fontId="189" fillId="20" borderId="58" xfId="23" applyFont="1" applyFill="1" applyBorder="1" applyAlignment="1">
      <alignment horizontal="center" vertical="center" textRotation="90" wrapText="1" readingOrder="2"/>
    </xf>
    <xf numFmtId="0" fontId="142" fillId="20" borderId="64" xfId="23" applyFont="1" applyFill="1" applyBorder="1" applyAlignment="1">
      <alignment horizontal="center" vertical="center" wrapText="1" readingOrder="2"/>
    </xf>
    <xf numFmtId="0" fontId="142" fillId="20" borderId="57" xfId="23" applyFont="1" applyFill="1" applyBorder="1" applyAlignment="1">
      <alignment horizontal="center" vertical="center" wrapText="1" readingOrder="2"/>
    </xf>
    <xf numFmtId="0" fontId="188" fillId="0" borderId="1" xfId="23" applyFont="1" applyBorder="1" applyAlignment="1">
      <alignment horizontal="center" vertical="center"/>
    </xf>
    <xf numFmtId="0" fontId="13" fillId="20" borderId="21" xfId="23" applyFont="1" applyFill="1" applyBorder="1" applyAlignment="1">
      <alignment horizontal="center" vertical="center" textRotation="90" wrapText="1" readingOrder="2"/>
    </xf>
    <xf numFmtId="0" fontId="13" fillId="20" borderId="24" xfId="23" applyFont="1" applyFill="1" applyBorder="1" applyAlignment="1">
      <alignment horizontal="center" vertical="center" textRotation="90" wrapText="1" readingOrder="2"/>
    </xf>
    <xf numFmtId="0" fontId="13" fillId="20" borderId="30" xfId="23" applyFont="1" applyFill="1" applyBorder="1" applyAlignment="1">
      <alignment horizontal="center" vertical="center" textRotation="90" wrapText="1" readingOrder="2"/>
    </xf>
    <xf numFmtId="0" fontId="142" fillId="20" borderId="23" xfId="23" applyFont="1" applyFill="1" applyBorder="1" applyAlignment="1">
      <alignment horizontal="center" vertical="center" wrapText="1" readingOrder="2"/>
    </xf>
    <xf numFmtId="0" fontId="142" fillId="20" borderId="26" xfId="23" applyFont="1" applyFill="1" applyBorder="1" applyAlignment="1">
      <alignment horizontal="center" vertical="center" wrapText="1" readingOrder="2"/>
    </xf>
    <xf numFmtId="0" fontId="142" fillId="20" borderId="32" xfId="23" applyFont="1" applyFill="1" applyBorder="1" applyAlignment="1">
      <alignment horizontal="center" vertical="center" wrapText="1" readingOrder="2"/>
    </xf>
    <xf numFmtId="0" fontId="189" fillId="20" borderId="71" xfId="23" applyFont="1" applyFill="1" applyBorder="1" applyAlignment="1">
      <alignment horizontal="center" vertical="center" wrapText="1" readingOrder="2"/>
    </xf>
    <xf numFmtId="0" fontId="189" fillId="20" borderId="22" xfId="23" applyFont="1" applyFill="1" applyBorder="1" applyAlignment="1">
      <alignment horizontal="center" vertical="center" wrapText="1" readingOrder="2"/>
    </xf>
    <xf numFmtId="0" fontId="189" fillId="20" borderId="23" xfId="23" applyFont="1" applyFill="1" applyBorder="1" applyAlignment="1">
      <alignment horizontal="center" vertical="center" wrapText="1" readingOrder="2"/>
    </xf>
    <xf numFmtId="0" fontId="189" fillId="20" borderId="27" xfId="23" applyFont="1" applyFill="1" applyBorder="1" applyAlignment="1">
      <alignment horizontal="center" vertical="center" wrapText="1" readingOrder="2"/>
    </xf>
    <xf numFmtId="0" fontId="189" fillId="20" borderId="92" xfId="23" applyFont="1" applyFill="1" applyBorder="1" applyAlignment="1">
      <alignment horizontal="center" vertical="center" wrapText="1" readingOrder="2"/>
    </xf>
    <xf numFmtId="0" fontId="189" fillId="20" borderId="26" xfId="23" applyFont="1" applyFill="1" applyBorder="1" applyAlignment="1">
      <alignment horizontal="center" vertical="center" wrapText="1" readingOrder="2"/>
    </xf>
    <xf numFmtId="0" fontId="189" fillId="20" borderId="71" xfId="23" applyFont="1" applyFill="1" applyBorder="1" applyAlignment="1">
      <alignment horizontal="center" vertical="center" textRotation="90" wrapText="1" readingOrder="2"/>
    </xf>
    <xf numFmtId="0" fontId="189" fillId="20" borderId="27" xfId="23" applyFont="1" applyFill="1" applyBorder="1" applyAlignment="1">
      <alignment horizontal="center" vertical="center" textRotation="90" wrapText="1" readingOrder="2"/>
    </xf>
    <xf numFmtId="0" fontId="189" fillId="20" borderId="91" xfId="23" applyFont="1" applyFill="1" applyBorder="1" applyAlignment="1">
      <alignment horizontal="center" vertical="center" textRotation="90" wrapText="1" readingOrder="2"/>
    </xf>
    <xf numFmtId="0" fontId="189" fillId="20" borderId="23" xfId="23" applyFont="1" applyFill="1" applyBorder="1" applyAlignment="1">
      <alignment horizontal="center" vertical="center" textRotation="90" wrapText="1" readingOrder="2"/>
    </xf>
    <xf numFmtId="0" fontId="189" fillId="20" borderId="26" xfId="23" applyFont="1" applyFill="1" applyBorder="1" applyAlignment="1">
      <alignment horizontal="center" vertical="center" textRotation="90" wrapText="1" readingOrder="2"/>
    </xf>
    <xf numFmtId="0" fontId="189" fillId="20" borderId="32" xfId="23" applyFont="1" applyFill="1" applyBorder="1" applyAlignment="1">
      <alignment horizontal="center" vertical="center" textRotation="90" wrapText="1" readingOrder="2"/>
    </xf>
    <xf numFmtId="0" fontId="189" fillId="20" borderId="10" xfId="23" applyFont="1" applyFill="1" applyBorder="1" applyAlignment="1">
      <alignment horizontal="center" vertical="center" wrapText="1" readingOrder="2"/>
    </xf>
    <xf numFmtId="0" fontId="189" fillId="20" borderId="13" xfId="23" applyFont="1" applyFill="1" applyBorder="1" applyAlignment="1">
      <alignment horizontal="center" vertical="center" wrapText="1" readingOrder="2"/>
    </xf>
    <xf numFmtId="0" fontId="189" fillId="20" borderId="16" xfId="23" applyFont="1" applyFill="1" applyBorder="1" applyAlignment="1">
      <alignment horizontal="center" vertical="center" wrapText="1" readingOrder="2"/>
    </xf>
    <xf numFmtId="0" fontId="8" fillId="0" borderId="0" xfId="137" applyFont="1" applyAlignment="1">
      <alignment horizontal="center" vertical="center" readingOrder="2"/>
    </xf>
    <xf numFmtId="0" fontId="16" fillId="20" borderId="213" xfId="134" applyFont="1" applyFill="1" applyBorder="1" applyAlignment="1">
      <alignment horizontal="center" vertical="center" wrapText="1" shrinkToFit="1" readingOrder="2"/>
    </xf>
    <xf numFmtId="0" fontId="16" fillId="20" borderId="214" xfId="134" applyFont="1" applyFill="1" applyBorder="1" applyAlignment="1">
      <alignment horizontal="center" vertical="center" wrapText="1" shrinkToFit="1" readingOrder="2"/>
    </xf>
    <xf numFmtId="0" fontId="16" fillId="20" borderId="61" xfId="134" applyFont="1" applyFill="1" applyBorder="1" applyAlignment="1">
      <alignment horizontal="center" vertical="center" readingOrder="2"/>
    </xf>
    <xf numFmtId="0" fontId="16" fillId="20" borderId="58" xfId="134" applyFont="1" applyFill="1" applyBorder="1" applyAlignment="1">
      <alignment horizontal="center" vertical="center" readingOrder="2"/>
    </xf>
    <xf numFmtId="0" fontId="16" fillId="20" borderId="47" xfId="134" applyFont="1" applyFill="1" applyBorder="1" applyAlignment="1">
      <alignment horizontal="center" vertical="center" readingOrder="2"/>
    </xf>
    <xf numFmtId="0" fontId="16" fillId="20" borderId="57" xfId="134" applyFont="1" applyFill="1" applyBorder="1" applyAlignment="1">
      <alignment horizontal="center" vertical="center" readingOrder="2"/>
    </xf>
    <xf numFmtId="0" fontId="16" fillId="20" borderId="3" xfId="134" applyFont="1" applyFill="1" applyBorder="1" applyAlignment="1">
      <alignment horizontal="center" vertical="center" readingOrder="2"/>
    </xf>
    <xf numFmtId="0" fontId="16" fillId="20" borderId="18" xfId="134" applyFont="1" applyFill="1" applyBorder="1" applyAlignment="1">
      <alignment horizontal="center" vertical="center"/>
    </xf>
    <xf numFmtId="0" fontId="24" fillId="0" borderId="0" xfId="138" applyFont="1" applyAlignment="1">
      <alignment horizontal="right" vertical="center" readingOrder="2"/>
    </xf>
    <xf numFmtId="0" fontId="73" fillId="0" borderId="24" xfId="8" applyFont="1" applyBorder="1" applyAlignment="1">
      <alignment horizontal="center" vertical="center"/>
    </xf>
    <xf numFmtId="0" fontId="30" fillId="0" borderId="26" xfId="8" applyFont="1" applyBorder="1" applyAlignment="1">
      <alignment vertical="center"/>
    </xf>
    <xf numFmtId="0" fontId="9" fillId="2" borderId="0" xfId="8" applyFont="1" applyFill="1" applyAlignment="1">
      <alignment horizontal="right" vertical="center"/>
    </xf>
    <xf numFmtId="0" fontId="8" fillId="0" borderId="0" xfId="8" applyFont="1" applyAlignment="1">
      <alignment horizontal="center" vertical="center"/>
    </xf>
    <xf numFmtId="0" fontId="73" fillId="0" borderId="21" xfId="8" applyFont="1" applyBorder="1" applyAlignment="1">
      <alignment horizontal="center" vertical="center"/>
    </xf>
    <xf numFmtId="0" fontId="30" fillId="0" borderId="23" xfId="8" applyFont="1" applyBorder="1" applyAlignment="1">
      <alignment vertical="center"/>
    </xf>
    <xf numFmtId="0" fontId="140" fillId="2" borderId="0" xfId="8" applyFont="1" applyFill="1" applyBorder="1" applyAlignment="1">
      <alignment horizontal="center" vertical="center"/>
    </xf>
    <xf numFmtId="1" fontId="12" fillId="20" borderId="35" xfId="8" applyNumberFormat="1" applyFont="1" applyFill="1" applyBorder="1" applyAlignment="1">
      <alignment horizontal="center" vertical="center"/>
    </xf>
    <xf numFmtId="1" fontId="12" fillId="20" borderId="48" xfId="8" applyNumberFormat="1" applyFont="1" applyFill="1" applyBorder="1" applyAlignment="1">
      <alignment horizontal="center" vertical="center"/>
    </xf>
    <xf numFmtId="0" fontId="9" fillId="2" borderId="49" xfId="8" applyFont="1" applyFill="1" applyBorder="1" applyAlignment="1">
      <alignment horizontal="right" vertical="center"/>
    </xf>
    <xf numFmtId="0" fontId="7" fillId="5" borderId="92" xfId="8" applyFill="1" applyBorder="1" applyAlignment="1">
      <alignment horizontal="center"/>
    </xf>
    <xf numFmtId="0" fontId="7" fillId="0" borderId="0" xfId="8" applyAlignment="1">
      <alignment horizontal="center"/>
    </xf>
    <xf numFmtId="0" fontId="66" fillId="0" borderId="0" xfId="8" applyFont="1" applyAlignment="1">
      <alignment horizontal="right"/>
    </xf>
    <xf numFmtId="0" fontId="7" fillId="0" borderId="95" xfId="8" applyBorder="1" applyAlignment="1">
      <alignment horizontal="center"/>
    </xf>
    <xf numFmtId="0" fontId="7" fillId="0" borderId="92" xfId="8" applyBorder="1" applyAlignment="1">
      <alignment horizontal="center"/>
    </xf>
    <xf numFmtId="0" fontId="0" fillId="0" borderId="93" xfId="8" applyFont="1" applyBorder="1" applyAlignment="1">
      <alignment horizontal="center"/>
    </xf>
    <xf numFmtId="0" fontId="7" fillId="0" borderId="51" xfId="8" applyBorder="1" applyAlignment="1">
      <alignment horizontal="center"/>
    </xf>
    <xf numFmtId="0" fontId="7" fillId="0" borderId="27" xfId="8" applyBorder="1" applyAlignment="1">
      <alignment horizontal="center"/>
    </xf>
    <xf numFmtId="0" fontId="7" fillId="0" borderId="93" xfId="8" applyBorder="1" applyAlignment="1">
      <alignment horizontal="center"/>
    </xf>
    <xf numFmtId="0" fontId="0" fillId="5" borderId="93" xfId="8" applyFont="1" applyFill="1" applyBorder="1" applyAlignment="1">
      <alignment horizontal="center"/>
    </xf>
    <xf numFmtId="0" fontId="7" fillId="5" borderId="51" xfId="8" applyFill="1" applyBorder="1" applyAlignment="1">
      <alignment horizontal="center"/>
    </xf>
    <xf numFmtId="0" fontId="7" fillId="5" borderId="27" xfId="8" applyFill="1" applyBorder="1" applyAlignment="1">
      <alignment horizontal="center"/>
    </xf>
    <xf numFmtId="0" fontId="12" fillId="23" borderId="12" xfId="129" applyFont="1" applyFill="1" applyBorder="1" applyAlignment="1">
      <alignment horizontal="center" vertical="center"/>
    </xf>
    <xf numFmtId="0" fontId="12" fillId="20" borderId="35" xfId="129" applyFont="1" applyFill="1" applyBorder="1" applyAlignment="1">
      <alignment horizontal="center" vertical="center"/>
    </xf>
    <xf numFmtId="0" fontId="12" fillId="20" borderId="48" xfId="129" applyFont="1" applyFill="1" applyBorder="1" applyAlignment="1">
      <alignment horizontal="center" vertical="center"/>
    </xf>
    <xf numFmtId="0" fontId="9" fillId="0" borderId="0" xfId="129" applyFont="1" applyAlignment="1">
      <alignment horizontal="right" vertical="center"/>
    </xf>
    <xf numFmtId="3" fontId="32" fillId="2" borderId="92" xfId="129" applyNumberFormat="1" applyFont="1" applyFill="1" applyBorder="1" applyAlignment="1">
      <alignment horizontal="center" vertical="center"/>
    </xf>
    <xf numFmtId="3" fontId="32" fillId="2" borderId="26" xfId="130" applyNumberFormat="1" applyFont="1" applyFill="1" applyBorder="1" applyAlignment="1">
      <alignment horizontal="center" vertical="center"/>
    </xf>
    <xf numFmtId="3" fontId="32" fillId="25" borderId="92" xfId="129" applyNumberFormat="1" applyFont="1" applyFill="1" applyBorder="1" applyAlignment="1">
      <alignment horizontal="center" vertical="center"/>
    </xf>
    <xf numFmtId="0" fontId="7" fillId="25" borderId="92" xfId="22" applyFill="1" applyBorder="1" applyAlignment="1">
      <alignment horizontal="center" vertical="center"/>
    </xf>
    <xf numFmtId="3" fontId="17" fillId="0" borderId="26" xfId="129" applyNumberFormat="1" applyFont="1" applyBorder="1" applyAlignment="1">
      <alignment horizontal="center" vertical="center"/>
    </xf>
    <xf numFmtId="0" fontId="12" fillId="23" borderId="9" xfId="129" applyFont="1" applyFill="1" applyBorder="1" applyAlignment="1">
      <alignment horizontal="center" vertical="center"/>
    </xf>
    <xf numFmtId="3" fontId="32" fillId="2" borderId="23" xfId="130" applyNumberFormat="1" applyFont="1" applyFill="1" applyBorder="1" applyAlignment="1">
      <alignment horizontal="center" vertical="center"/>
    </xf>
    <xf numFmtId="0" fontId="36" fillId="0" borderId="0" xfId="129" applyFont="1" applyAlignment="1">
      <alignment horizontal="center" vertical="center"/>
    </xf>
    <xf numFmtId="0" fontId="62" fillId="0" borderId="0" xfId="129" applyFont="1" applyAlignment="1">
      <alignment horizontal="left" vertical="center"/>
    </xf>
    <xf numFmtId="0" fontId="12" fillId="20" borderId="9" xfId="129" applyFont="1" applyFill="1" applyBorder="1" applyAlignment="1">
      <alignment horizontal="center" vertical="center" wrapText="1"/>
    </xf>
    <xf numFmtId="0" fontId="12" fillId="20" borderId="33" xfId="129" applyFont="1" applyFill="1" applyBorder="1" applyAlignment="1">
      <alignment horizontal="center" vertical="center" wrapText="1"/>
    </xf>
    <xf numFmtId="0" fontId="12" fillId="20" borderId="71" xfId="129" applyFont="1" applyFill="1" applyBorder="1" applyAlignment="1">
      <alignment horizontal="center" vertical="center" textRotation="90" wrapText="1"/>
    </xf>
    <xf numFmtId="0" fontId="12" fillId="20" borderId="53" xfId="129" applyFont="1" applyFill="1" applyBorder="1" applyAlignment="1">
      <alignment horizontal="center" vertical="center" textRotation="90" wrapText="1"/>
    </xf>
    <xf numFmtId="0" fontId="12" fillId="20" borderId="22" xfId="129" applyFont="1" applyFill="1" applyBorder="1" applyAlignment="1">
      <alignment horizontal="center" vertical="center" wrapText="1"/>
    </xf>
    <xf numFmtId="0" fontId="12" fillId="20" borderId="22" xfId="129" applyFont="1" applyFill="1" applyBorder="1" applyAlignment="1">
      <alignment horizontal="center" vertical="center" textRotation="90" wrapText="1"/>
    </xf>
    <xf numFmtId="0" fontId="12" fillId="20" borderId="28" xfId="129" applyFont="1" applyFill="1" applyBorder="1" applyAlignment="1">
      <alignment horizontal="center" vertical="center" textRotation="90" wrapText="1"/>
    </xf>
    <xf numFmtId="0" fontId="12" fillId="20" borderId="23" xfId="129" applyFont="1" applyFill="1" applyBorder="1" applyAlignment="1">
      <alignment horizontal="center" vertical="center" textRotation="90" wrapText="1"/>
    </xf>
    <xf numFmtId="0" fontId="12" fillId="20" borderId="40" xfId="129" applyFont="1" applyFill="1" applyBorder="1" applyAlignment="1">
      <alignment horizontal="center" vertical="center" textRotation="90" wrapText="1"/>
    </xf>
    <xf numFmtId="0" fontId="12" fillId="32" borderId="24" xfId="8" applyFont="1" applyFill="1" applyBorder="1" applyAlignment="1">
      <alignment horizontal="center" vertical="center"/>
    </xf>
    <xf numFmtId="0" fontId="12" fillId="32" borderId="26" xfId="8" applyFont="1" applyFill="1" applyBorder="1" applyAlignment="1">
      <alignment horizontal="center" vertical="center"/>
    </xf>
    <xf numFmtId="0" fontId="34" fillId="20" borderId="30" xfId="8" applyFont="1" applyFill="1" applyBorder="1" applyAlignment="1">
      <alignment horizontal="center" vertical="center"/>
    </xf>
    <xf numFmtId="0" fontId="34" fillId="20" borderId="32" xfId="8" applyFont="1" applyFill="1" applyBorder="1" applyAlignment="1">
      <alignment horizontal="center" vertical="center"/>
    </xf>
    <xf numFmtId="0" fontId="9" fillId="0" borderId="0" xfId="8" applyFont="1" applyAlignment="1">
      <alignment horizontal="center" vertical="center"/>
    </xf>
    <xf numFmtId="0" fontId="12" fillId="32" borderId="37" xfId="8" applyFont="1" applyFill="1" applyBorder="1" applyAlignment="1">
      <alignment horizontal="center" vertical="center"/>
    </xf>
    <xf numFmtId="0" fontId="12" fillId="32" borderId="38" xfId="8" applyFont="1" applyFill="1" applyBorder="1" applyAlignment="1">
      <alignment horizontal="center" vertical="center"/>
    </xf>
    <xf numFmtId="0" fontId="12" fillId="32" borderId="24" xfId="8" applyFont="1" applyFill="1" applyBorder="1" applyAlignment="1">
      <alignment horizontal="center" vertical="center" readingOrder="2"/>
    </xf>
    <xf numFmtId="0" fontId="12" fillId="32" borderId="26" xfId="8" applyFont="1" applyFill="1" applyBorder="1" applyAlignment="1">
      <alignment horizontal="center" vertical="center" readingOrder="2"/>
    </xf>
    <xf numFmtId="0" fontId="12" fillId="20" borderId="21" xfId="8" applyFont="1" applyFill="1" applyBorder="1" applyAlignment="1">
      <alignment horizontal="center" vertical="center" wrapText="1"/>
    </xf>
    <xf numFmtId="0" fontId="12" fillId="20" borderId="23" xfId="8" applyFont="1" applyFill="1" applyBorder="1" applyAlignment="1">
      <alignment horizontal="center" vertical="center" wrapText="1"/>
    </xf>
    <xf numFmtId="0" fontId="12" fillId="20" borderId="30" xfId="8" applyFont="1" applyFill="1" applyBorder="1" applyAlignment="1">
      <alignment horizontal="center" vertical="center" wrapText="1"/>
    </xf>
    <xf numFmtId="0" fontId="12" fillId="20" borderId="32" xfId="8" applyFont="1" applyFill="1" applyBorder="1" applyAlignment="1">
      <alignment horizontal="center" vertical="center" wrapText="1"/>
    </xf>
    <xf numFmtId="0" fontId="12" fillId="20" borderId="71" xfId="8" applyFont="1" applyFill="1" applyBorder="1" applyAlignment="1">
      <alignment horizontal="center" vertical="center" wrapText="1"/>
    </xf>
    <xf numFmtId="0" fontId="12" fillId="20" borderId="22" xfId="8" applyFont="1" applyFill="1" applyBorder="1" applyAlignment="1">
      <alignment horizontal="center" vertical="center" wrapText="1"/>
    </xf>
    <xf numFmtId="0" fontId="12" fillId="20" borderId="22" xfId="22" applyFont="1" applyFill="1" applyBorder="1" applyAlignment="1">
      <alignment horizontal="center" vertical="center" wrapText="1"/>
    </xf>
    <xf numFmtId="0" fontId="12" fillId="20" borderId="22" xfId="22" applyFont="1" applyFill="1" applyBorder="1" applyAlignment="1">
      <alignment horizontal="center" vertical="center" textRotation="90" wrapText="1"/>
    </xf>
    <xf numFmtId="0" fontId="12" fillId="20" borderId="31" xfId="22" applyFont="1" applyFill="1" applyBorder="1" applyAlignment="1">
      <alignment horizontal="center" vertical="center" textRotation="90" wrapText="1"/>
    </xf>
    <xf numFmtId="0" fontId="12" fillId="20" borderId="23" xfId="22" applyFont="1" applyFill="1" applyBorder="1" applyAlignment="1">
      <alignment horizontal="center" vertical="center" textRotation="90" wrapText="1"/>
    </xf>
    <xf numFmtId="0" fontId="12" fillId="20" borderId="32" xfId="22" applyFont="1" applyFill="1" applyBorder="1" applyAlignment="1">
      <alignment horizontal="center" vertical="center" textRotation="90" wrapText="1"/>
    </xf>
    <xf numFmtId="0" fontId="12" fillId="20" borderId="42" xfId="22" applyFont="1" applyFill="1" applyBorder="1" applyAlignment="1">
      <alignment horizontal="center" vertical="center"/>
    </xf>
    <xf numFmtId="0" fontId="12" fillId="20" borderId="43" xfId="22" applyFont="1" applyFill="1" applyBorder="1" applyAlignment="1">
      <alignment horizontal="center" vertical="center"/>
    </xf>
    <xf numFmtId="0" fontId="12" fillId="20" borderId="44" xfId="22" applyFont="1" applyFill="1" applyBorder="1" applyAlignment="1">
      <alignment horizontal="center" vertical="center"/>
    </xf>
    <xf numFmtId="0" fontId="17" fillId="20" borderId="42" xfId="22" applyFont="1" applyFill="1" applyBorder="1" applyAlignment="1">
      <alignment horizontal="center" vertical="center"/>
    </xf>
    <xf numFmtId="0" fontId="17" fillId="20" borderId="43" xfId="22" applyFont="1" applyFill="1" applyBorder="1" applyAlignment="1">
      <alignment horizontal="center" vertical="center"/>
    </xf>
    <xf numFmtId="0" fontId="17" fillId="20" borderId="41" xfId="22" applyFont="1" applyFill="1" applyBorder="1" applyAlignment="1">
      <alignment horizontal="center" vertical="center"/>
    </xf>
    <xf numFmtId="0" fontId="17" fillId="20" borderId="44" xfId="22" applyFont="1" applyFill="1" applyBorder="1" applyAlignment="1">
      <alignment horizontal="center" vertical="center"/>
    </xf>
    <xf numFmtId="0" fontId="82" fillId="20" borderId="42" xfId="22" applyFont="1" applyFill="1" applyBorder="1" applyAlignment="1">
      <alignment horizontal="center" vertical="center"/>
    </xf>
    <xf numFmtId="0" fontId="82" fillId="20" borderId="68" xfId="22" applyFont="1" applyFill="1" applyBorder="1" applyAlignment="1">
      <alignment horizontal="center" vertical="center"/>
    </xf>
    <xf numFmtId="175" fontId="17" fillId="20" borderId="42" xfId="22" applyNumberFormat="1" applyFont="1" applyFill="1" applyBorder="1" applyAlignment="1">
      <alignment horizontal="center" vertical="center"/>
    </xf>
    <xf numFmtId="175" fontId="17" fillId="20" borderId="44" xfId="22" applyNumberFormat="1" applyFont="1" applyFill="1" applyBorder="1" applyAlignment="1">
      <alignment horizontal="center" vertical="center"/>
    </xf>
    <xf numFmtId="0" fontId="82" fillId="0" borderId="0" xfId="22" applyFont="1" applyFill="1" applyBorder="1" applyAlignment="1">
      <alignment horizontal="center" vertical="center"/>
    </xf>
    <xf numFmtId="0" fontId="12" fillId="28" borderId="5" xfId="22" applyFont="1" applyFill="1" applyBorder="1" applyAlignment="1">
      <alignment horizontal="center" vertical="center"/>
    </xf>
    <xf numFmtId="0" fontId="12" fillId="28" borderId="0" xfId="22" applyFont="1" applyFill="1" applyBorder="1" applyAlignment="1">
      <alignment horizontal="center" vertical="center"/>
    </xf>
    <xf numFmtId="0" fontId="12" fillId="28" borderId="7" xfId="22" applyFont="1" applyFill="1" applyBorder="1" applyAlignment="1">
      <alignment horizontal="center" vertical="center"/>
    </xf>
    <xf numFmtId="0" fontId="17" fillId="0" borderId="5" xfId="22" applyFont="1" applyFill="1" applyBorder="1" applyAlignment="1">
      <alignment horizontal="center" vertical="center"/>
    </xf>
    <xf numFmtId="0" fontId="17" fillId="0" borderId="0" xfId="22" applyFont="1" applyFill="1" applyBorder="1" applyAlignment="1">
      <alignment horizontal="center" vertical="center"/>
    </xf>
    <xf numFmtId="0" fontId="17" fillId="0" borderId="59" xfId="22" applyFont="1" applyFill="1" applyBorder="1" applyAlignment="1">
      <alignment horizontal="center" vertical="center"/>
    </xf>
    <xf numFmtId="0" fontId="17" fillId="0" borderId="1" xfId="22" applyFont="1" applyFill="1" applyBorder="1" applyAlignment="1">
      <alignment horizontal="center" vertical="center"/>
    </xf>
    <xf numFmtId="0" fontId="82" fillId="0" borderId="17" xfId="22" applyFont="1" applyFill="1" applyBorder="1" applyAlignment="1">
      <alignment horizontal="center" vertical="center"/>
    </xf>
    <xf numFmtId="0" fontId="82" fillId="0" borderId="54" xfId="22" applyFont="1" applyFill="1" applyBorder="1" applyAlignment="1">
      <alignment horizontal="center" vertical="center"/>
    </xf>
    <xf numFmtId="0" fontId="17" fillId="0" borderId="19" xfId="22" applyFont="1" applyFill="1" applyBorder="1" applyAlignment="1">
      <alignment horizontal="center" vertical="center"/>
    </xf>
    <xf numFmtId="175" fontId="17" fillId="0" borderId="5" xfId="22" applyNumberFormat="1" applyFont="1" applyFill="1" applyBorder="1" applyAlignment="1">
      <alignment horizontal="center" vertical="center"/>
    </xf>
    <xf numFmtId="175" fontId="17" fillId="0" borderId="7" xfId="22" applyNumberFormat="1" applyFont="1" applyFill="1" applyBorder="1" applyAlignment="1">
      <alignment horizontal="center" vertical="center"/>
    </xf>
    <xf numFmtId="0" fontId="17" fillId="0" borderId="63" xfId="22" applyFont="1" applyFill="1" applyBorder="1" applyAlignment="1">
      <alignment horizontal="center" vertical="center"/>
    </xf>
    <xf numFmtId="0" fontId="82" fillId="0" borderId="5" xfId="22" applyFont="1" applyFill="1" applyBorder="1" applyAlignment="1">
      <alignment horizontal="center" vertical="center"/>
    </xf>
    <xf numFmtId="0" fontId="82" fillId="0" borderId="79" xfId="22" applyFont="1" applyFill="1" applyBorder="1" applyAlignment="1">
      <alignment horizontal="center" vertical="center"/>
    </xf>
    <xf numFmtId="0" fontId="17" fillId="0" borderId="7" xfId="22" applyFont="1" applyFill="1" applyBorder="1" applyAlignment="1">
      <alignment horizontal="center" vertical="center"/>
    </xf>
    <xf numFmtId="0" fontId="9" fillId="0" borderId="5" xfId="22" applyFont="1" applyFill="1" applyBorder="1" applyAlignment="1">
      <alignment horizontal="center" vertical="center"/>
    </xf>
    <xf numFmtId="0" fontId="9" fillId="0" borderId="79" xfId="22" applyFont="1" applyFill="1" applyBorder="1" applyAlignment="1">
      <alignment horizontal="center" vertical="center"/>
    </xf>
    <xf numFmtId="0" fontId="12" fillId="28" borderId="2" xfId="22" applyFont="1" applyFill="1" applyBorder="1" applyAlignment="1">
      <alignment horizontal="center" vertical="center"/>
    </xf>
    <xf numFmtId="0" fontId="12" fillId="28" borderId="20" xfId="22" applyFont="1" applyFill="1" applyBorder="1" applyAlignment="1">
      <alignment horizontal="center" vertical="center"/>
    </xf>
    <xf numFmtId="0" fontId="12" fillId="28" borderId="4" xfId="22" applyFont="1" applyFill="1" applyBorder="1" applyAlignment="1">
      <alignment horizontal="center" vertical="center"/>
    </xf>
    <xf numFmtId="0" fontId="32" fillId="0" borderId="2" xfId="22" applyFont="1" applyFill="1" applyBorder="1" applyAlignment="1">
      <alignment horizontal="center" vertical="center"/>
    </xf>
    <xf numFmtId="0" fontId="32" fillId="0" borderId="20" xfId="22" applyFont="1" applyFill="1" applyBorder="1" applyAlignment="1">
      <alignment horizontal="center" vertical="center"/>
    </xf>
    <xf numFmtId="0" fontId="32" fillId="0" borderId="62" xfId="22" applyFont="1" applyFill="1" applyBorder="1" applyAlignment="1">
      <alignment horizontal="center" vertical="center"/>
    </xf>
    <xf numFmtId="0" fontId="82" fillId="0" borderId="2" xfId="22" applyFont="1" applyFill="1" applyBorder="1" applyAlignment="1">
      <alignment horizontal="center" vertical="center"/>
    </xf>
    <xf numFmtId="0" fontId="82" fillId="0" borderId="70" xfId="22" applyFont="1" applyFill="1" applyBorder="1" applyAlignment="1">
      <alignment horizontal="center" vertical="center"/>
    </xf>
    <xf numFmtId="0" fontId="9" fillId="0" borderId="20" xfId="22" applyFont="1" applyFill="1" applyBorder="1" applyAlignment="1">
      <alignment horizontal="center" vertical="center"/>
    </xf>
    <xf numFmtId="0" fontId="9" fillId="0" borderId="4" xfId="22" applyFont="1" applyFill="1" applyBorder="1" applyAlignment="1">
      <alignment horizontal="center" vertical="center"/>
    </xf>
    <xf numFmtId="0" fontId="103" fillId="0" borderId="1" xfId="22" applyFont="1" applyFill="1" applyBorder="1" applyAlignment="1">
      <alignment horizontal="center"/>
    </xf>
    <xf numFmtId="0" fontId="12" fillId="20" borderId="2" xfId="22" applyFont="1" applyFill="1" applyBorder="1" applyAlignment="1">
      <alignment horizontal="center" vertical="center"/>
    </xf>
    <xf numFmtId="0" fontId="12" fillId="20" borderId="20" xfId="22" applyFont="1" applyFill="1" applyBorder="1" applyAlignment="1">
      <alignment horizontal="center" vertical="center"/>
    </xf>
    <xf numFmtId="0" fontId="12" fillId="20" borderId="4" xfId="22" applyFont="1" applyFill="1" applyBorder="1" applyAlignment="1">
      <alignment horizontal="center" vertical="center"/>
    </xf>
    <xf numFmtId="0" fontId="12" fillId="20" borderId="17" xfId="22" applyFont="1" applyFill="1" applyBorder="1" applyAlignment="1">
      <alignment horizontal="center" vertical="center"/>
    </xf>
    <xf numFmtId="0" fontId="12" fillId="20" borderId="1" xfId="22" applyFont="1" applyFill="1" applyBorder="1" applyAlignment="1">
      <alignment horizontal="center" vertical="center"/>
    </xf>
    <xf numFmtId="0" fontId="12" fillId="20" borderId="19" xfId="22" applyFont="1" applyFill="1" applyBorder="1" applyAlignment="1">
      <alignment horizontal="center" vertical="center"/>
    </xf>
    <xf numFmtId="0" fontId="12" fillId="20" borderId="8" xfId="22" applyFont="1" applyFill="1" applyBorder="1" applyAlignment="1">
      <alignment horizontal="center" vertical="center"/>
    </xf>
    <xf numFmtId="0" fontId="12" fillId="20" borderId="94" xfId="22" applyFont="1" applyFill="1" applyBorder="1" applyAlignment="1">
      <alignment horizontal="center" vertical="center"/>
    </xf>
    <xf numFmtId="0" fontId="12" fillId="20" borderId="10" xfId="22" applyFont="1" applyFill="1" applyBorder="1" applyAlignment="1">
      <alignment horizontal="center" vertical="center"/>
    </xf>
    <xf numFmtId="0" fontId="12" fillId="20" borderId="14" xfId="22" applyFont="1" applyFill="1" applyBorder="1" applyAlignment="1">
      <alignment horizontal="center" vertical="center"/>
    </xf>
    <xf numFmtId="0" fontId="12" fillId="20" borderId="90" xfId="22" applyFont="1" applyFill="1" applyBorder="1" applyAlignment="1">
      <alignment horizontal="center" vertical="center"/>
    </xf>
    <xf numFmtId="0" fontId="12" fillId="20" borderId="55" xfId="22" applyFont="1" applyFill="1" applyBorder="1" applyAlignment="1">
      <alignment horizontal="center" vertical="center"/>
    </xf>
    <xf numFmtId="0" fontId="12" fillId="20" borderId="16" xfId="22" applyFont="1" applyFill="1" applyBorder="1" applyAlignment="1">
      <alignment horizontal="center" vertical="center"/>
    </xf>
    <xf numFmtId="0" fontId="40" fillId="28" borderId="2" xfId="22" applyFont="1" applyFill="1" applyBorder="1" applyAlignment="1">
      <alignment horizontal="right" vertical="center"/>
    </xf>
    <xf numFmtId="0" fontId="40" fillId="28" borderId="5" xfId="22" applyFont="1" applyFill="1" applyBorder="1" applyAlignment="1">
      <alignment horizontal="right" vertical="center"/>
    </xf>
    <xf numFmtId="0" fontId="40" fillId="28" borderId="52" xfId="22" applyFont="1" applyFill="1" applyBorder="1" applyAlignment="1">
      <alignment horizontal="right" vertical="center"/>
    </xf>
    <xf numFmtId="0" fontId="40" fillId="28" borderId="65" xfId="22" applyFont="1" applyFill="1" applyBorder="1" applyAlignment="1">
      <alignment horizontal="right" vertical="center"/>
    </xf>
    <xf numFmtId="0" fontId="128" fillId="0" borderId="0" xfId="22" applyFont="1" applyFill="1" applyBorder="1" applyAlignment="1">
      <alignment horizontal="center" textRotation="90"/>
    </xf>
    <xf numFmtId="0" fontId="40" fillId="20" borderId="8" xfId="22" applyFont="1" applyFill="1" applyBorder="1" applyAlignment="1">
      <alignment horizontal="right" vertical="center"/>
    </xf>
    <xf numFmtId="0" fontId="40" fillId="20" borderId="14" xfId="22" applyFont="1" applyFill="1" applyBorder="1" applyAlignment="1">
      <alignment horizontal="right" vertical="center"/>
    </xf>
    <xf numFmtId="0" fontId="131" fillId="20" borderId="64" xfId="22" applyFont="1" applyFill="1" applyBorder="1" applyAlignment="1">
      <alignment horizontal="right" vertical="center"/>
    </xf>
    <xf numFmtId="0" fontId="131" fillId="20" borderId="59" xfId="22" applyFont="1" applyFill="1" applyBorder="1" applyAlignment="1"/>
    <xf numFmtId="0" fontId="47" fillId="0" borderId="0" xfId="22" applyFont="1" applyFill="1" applyAlignment="1">
      <alignment horizontal="right"/>
    </xf>
    <xf numFmtId="0" fontId="40" fillId="20" borderId="2" xfId="22" applyFont="1" applyFill="1" applyBorder="1" applyAlignment="1">
      <alignment horizontal="center" vertical="center"/>
    </xf>
    <xf numFmtId="0" fontId="40" fillId="20" borderId="17" xfId="22" applyFont="1" applyFill="1" applyBorder="1" applyAlignment="1">
      <alignment horizontal="center" vertical="center"/>
    </xf>
    <xf numFmtId="0" fontId="40" fillId="20" borderId="47" xfId="22" applyFont="1" applyFill="1" applyBorder="1" applyAlignment="1">
      <alignment horizontal="center" vertical="center" textRotation="90"/>
    </xf>
    <xf numFmtId="0" fontId="40" fillId="20" borderId="57" xfId="22" applyFont="1" applyFill="1" applyBorder="1" applyAlignment="1">
      <alignment horizontal="center" vertical="center" textRotation="90"/>
    </xf>
    <xf numFmtId="0" fontId="40" fillId="20" borderId="20" xfId="22" applyFont="1" applyFill="1" applyBorder="1" applyAlignment="1">
      <alignment horizontal="center" vertical="center"/>
    </xf>
    <xf numFmtId="0" fontId="40" fillId="20" borderId="4" xfId="22" applyFont="1" applyFill="1" applyBorder="1" applyAlignment="1">
      <alignment horizontal="center" vertical="center"/>
    </xf>
    <xf numFmtId="0" fontId="40" fillId="20" borderId="62" xfId="22" applyFont="1" applyFill="1" applyBorder="1" applyAlignment="1">
      <alignment horizontal="center" vertical="center" textRotation="90"/>
    </xf>
    <xf numFmtId="0" fontId="40" fillId="20" borderId="63" xfId="22" applyFont="1" applyFill="1" applyBorder="1" applyAlignment="1">
      <alignment horizontal="center" vertical="center" textRotation="90"/>
    </xf>
    <xf numFmtId="0" fontId="40" fillId="20" borderId="22" xfId="22" applyFont="1" applyFill="1" applyBorder="1" applyAlignment="1">
      <alignment horizontal="center" vertical="center"/>
    </xf>
    <xf numFmtId="0" fontId="40" fillId="20" borderId="23" xfId="22" applyFont="1" applyFill="1" applyBorder="1" applyAlignment="1">
      <alignment horizontal="center" vertical="center" textRotation="90"/>
    </xf>
    <xf numFmtId="0" fontId="40" fillId="20" borderId="40" xfId="22" applyFont="1" applyFill="1" applyBorder="1" applyAlignment="1">
      <alignment horizontal="center" vertical="center" textRotation="90"/>
    </xf>
    <xf numFmtId="0" fontId="40" fillId="20" borderId="5" xfId="22" applyFont="1" applyFill="1" applyBorder="1" applyAlignment="1">
      <alignment horizontal="center" vertical="center"/>
    </xf>
    <xf numFmtId="0" fontId="40" fillId="0" borderId="0" xfId="22" applyFont="1" applyFill="1" applyBorder="1" applyAlignment="1">
      <alignment horizontal="center" vertical="center"/>
    </xf>
    <xf numFmtId="0" fontId="9" fillId="0" borderId="0" xfId="22" applyFont="1" applyFill="1" applyAlignment="1">
      <alignment horizontal="center"/>
    </xf>
    <xf numFmtId="0" fontId="40" fillId="20" borderId="42" xfId="22" applyFont="1" applyFill="1" applyBorder="1" applyAlignment="1">
      <alignment horizontal="center" vertical="center"/>
    </xf>
    <xf numFmtId="0" fontId="40" fillId="20" borderId="44" xfId="22" applyFont="1" applyFill="1" applyBorder="1" applyAlignment="1">
      <alignment horizontal="center"/>
    </xf>
    <xf numFmtId="0" fontId="9" fillId="0" borderId="20" xfId="22" applyFont="1" applyFill="1" applyBorder="1" applyAlignment="1">
      <alignment horizontal="center"/>
    </xf>
    <xf numFmtId="0" fontId="103" fillId="0" borderId="1" xfId="22" applyFont="1" applyFill="1" applyBorder="1" applyAlignment="1">
      <alignment horizontal="center" vertical="center"/>
    </xf>
    <xf numFmtId="0" fontId="40" fillId="28" borderId="11" xfId="22" applyFont="1" applyFill="1" applyBorder="1" applyAlignment="1">
      <alignment horizontal="center" vertical="center"/>
    </xf>
    <xf numFmtId="0" fontId="40" fillId="28" borderId="65" xfId="22" applyFont="1" applyFill="1" applyBorder="1" applyAlignment="1">
      <alignment horizontal="center" vertical="center"/>
    </xf>
    <xf numFmtId="0" fontId="40" fillId="0" borderId="0" xfId="22" applyFont="1" applyFill="1" applyBorder="1" applyAlignment="1">
      <alignment horizontal="right" vertical="center"/>
    </xf>
    <xf numFmtId="0" fontId="40" fillId="28" borderId="52" xfId="22" applyFont="1" applyFill="1" applyBorder="1" applyAlignment="1">
      <alignment horizontal="center" vertical="center"/>
    </xf>
    <xf numFmtId="0" fontId="40" fillId="28" borderId="5" xfId="22" applyFont="1" applyFill="1" applyBorder="1" applyAlignment="1">
      <alignment horizontal="center" vertical="center"/>
    </xf>
    <xf numFmtId="0" fontId="40" fillId="28" borderId="2" xfId="22" applyFont="1" applyFill="1" applyBorder="1" applyAlignment="1">
      <alignment horizontal="center" vertical="center"/>
    </xf>
    <xf numFmtId="0" fontId="40" fillId="20" borderId="64" xfId="22" applyFont="1" applyFill="1" applyBorder="1" applyAlignment="1">
      <alignment horizontal="right" vertical="center"/>
    </xf>
    <xf numFmtId="0" fontId="40" fillId="20" borderId="59" xfId="22" applyFont="1" applyFill="1" applyBorder="1" applyAlignment="1"/>
    <xf numFmtId="0" fontId="129" fillId="0" borderId="0" xfId="22" applyFont="1" applyFill="1" applyAlignment="1">
      <alignment horizontal="right"/>
    </xf>
    <xf numFmtId="0" fontId="40" fillId="20" borderId="8" xfId="22" applyFont="1" applyFill="1" applyBorder="1" applyAlignment="1">
      <alignment horizontal="center" vertical="center"/>
    </xf>
    <xf numFmtId="0" fontId="40" fillId="20" borderId="94" xfId="22" applyFont="1" applyFill="1" applyBorder="1" applyAlignment="1">
      <alignment horizontal="center" vertical="center"/>
    </xf>
    <xf numFmtId="0" fontId="40" fillId="20" borderId="10" xfId="22" applyFont="1" applyFill="1" applyBorder="1" applyAlignment="1">
      <alignment horizontal="center" vertical="center"/>
    </xf>
    <xf numFmtId="0" fontId="40" fillId="20" borderId="60" xfId="22" applyFont="1" applyFill="1" applyBorder="1" applyAlignment="1">
      <alignment horizontal="center" vertical="center" textRotation="90"/>
    </xf>
    <xf numFmtId="0" fontId="40" fillId="20" borderId="54" xfId="22" applyFont="1" applyFill="1" applyBorder="1" applyAlignment="1">
      <alignment horizontal="center" vertical="center" textRotation="90"/>
    </xf>
    <xf numFmtId="0" fontId="40" fillId="0" borderId="5" xfId="22" applyFont="1" applyFill="1" applyBorder="1" applyAlignment="1">
      <alignment horizontal="center" vertical="center"/>
    </xf>
    <xf numFmtId="0" fontId="40" fillId="28" borderId="5" xfId="22" applyFont="1" applyFill="1" applyBorder="1" applyAlignment="1">
      <alignment horizontal="right" vertical="center" wrapText="1"/>
    </xf>
    <xf numFmtId="0" fontId="40" fillId="28" borderId="65" xfId="22" applyFont="1" applyFill="1" applyBorder="1" applyAlignment="1">
      <alignment horizontal="right" vertical="center" wrapText="1"/>
    </xf>
    <xf numFmtId="0" fontId="40" fillId="0" borderId="5" xfId="22" applyFont="1" applyFill="1" applyBorder="1" applyAlignment="1">
      <alignment horizontal="center" vertical="center" wrapText="1"/>
    </xf>
    <xf numFmtId="0" fontId="40" fillId="28" borderId="39" xfId="22" applyFont="1" applyFill="1" applyBorder="1" applyAlignment="1">
      <alignment horizontal="right" vertical="center"/>
    </xf>
    <xf numFmtId="0" fontId="40" fillId="28" borderId="37" xfId="22" applyFont="1" applyFill="1" applyBorder="1" applyAlignment="1">
      <alignment horizontal="right" vertical="center"/>
    </xf>
    <xf numFmtId="0" fontId="40" fillId="28" borderId="17" xfId="22" applyFont="1" applyFill="1" applyBorder="1" applyAlignment="1">
      <alignment horizontal="right" vertical="center"/>
    </xf>
    <xf numFmtId="0" fontId="75" fillId="28" borderId="77" xfId="22" applyFont="1" applyFill="1" applyBorder="1" applyAlignment="1">
      <alignment horizontal="right" vertical="center"/>
    </xf>
    <xf numFmtId="0" fontId="125" fillId="28" borderId="52" xfId="22" applyFont="1" applyFill="1" applyBorder="1" applyAlignment="1">
      <alignment vertical="center"/>
    </xf>
    <xf numFmtId="0" fontId="125" fillId="28" borderId="5" xfId="22" applyFont="1" applyFill="1" applyBorder="1" applyAlignment="1">
      <alignment vertical="center"/>
    </xf>
    <xf numFmtId="0" fontId="40" fillId="28" borderId="64" xfId="22" applyFont="1" applyFill="1" applyBorder="1" applyAlignment="1">
      <alignment horizontal="right" vertical="center"/>
    </xf>
    <xf numFmtId="0" fontId="125" fillId="28" borderId="65" xfId="22" applyFont="1" applyFill="1" applyBorder="1" applyAlignment="1">
      <alignment vertical="center"/>
    </xf>
    <xf numFmtId="0" fontId="40" fillId="0" borderId="5" xfId="22" applyFont="1" applyFill="1" applyBorder="1" applyAlignment="1">
      <alignment horizontal="right" vertical="center"/>
    </xf>
    <xf numFmtId="0" fontId="40" fillId="2" borderId="0" xfId="22" applyFont="1" applyFill="1" applyBorder="1" applyAlignment="1">
      <alignment horizontal="right" vertical="center"/>
    </xf>
    <xf numFmtId="0" fontId="40" fillId="20" borderId="59" xfId="22" applyFont="1" applyFill="1" applyBorder="1" applyAlignment="1">
      <alignment horizontal="center" vertical="center" textRotation="90"/>
    </xf>
    <xf numFmtId="0" fontId="36" fillId="0" borderId="0" xfId="110" applyFont="1" applyAlignment="1">
      <alignment horizontal="center" vertical="center"/>
    </xf>
    <xf numFmtId="0" fontId="11" fillId="20" borderId="8" xfId="110" applyFont="1" applyFill="1" applyBorder="1" applyAlignment="1">
      <alignment horizontal="center" vertical="center" wrapText="1"/>
    </xf>
    <xf numFmtId="0" fontId="11" fillId="20" borderId="14" xfId="110" applyFont="1" applyFill="1" applyBorder="1" applyAlignment="1">
      <alignment horizontal="center" vertical="center" wrapText="1"/>
    </xf>
    <xf numFmtId="0" fontId="11" fillId="20" borderId="21" xfId="110" applyFont="1" applyFill="1" applyBorder="1" applyAlignment="1">
      <alignment horizontal="center" vertical="center" wrapText="1"/>
    </xf>
    <xf numFmtId="0" fontId="11" fillId="20" borderId="22" xfId="110" applyFont="1" applyFill="1" applyBorder="1" applyAlignment="1">
      <alignment horizontal="center" vertical="center" wrapText="1"/>
    </xf>
    <xf numFmtId="0" fontId="11" fillId="20" borderId="46" xfId="110" applyFont="1" applyFill="1" applyBorder="1" applyAlignment="1">
      <alignment horizontal="center" vertical="center" wrapText="1"/>
    </xf>
    <xf numFmtId="0" fontId="11" fillId="20" borderId="23" xfId="110" applyFont="1" applyFill="1" applyBorder="1" applyAlignment="1">
      <alignment horizontal="center" vertical="center" wrapText="1"/>
    </xf>
    <xf numFmtId="0" fontId="9" fillId="0" borderId="20" xfId="110" applyFont="1" applyBorder="1" applyAlignment="1">
      <alignment horizontal="right" vertical="center" readingOrder="2"/>
    </xf>
    <xf numFmtId="0" fontId="40" fillId="0" borderId="0" xfId="110" applyFont="1" applyAlignment="1">
      <alignment horizontal="right"/>
    </xf>
    <xf numFmtId="0" fontId="32" fillId="0" borderId="28" xfId="110" applyFont="1" applyBorder="1" applyAlignment="1">
      <alignment horizontal="center" vertical="center"/>
    </xf>
    <xf numFmtId="0" fontId="32" fillId="0" borderId="40" xfId="110" applyFont="1" applyBorder="1" applyAlignment="1">
      <alignment horizontal="center" vertical="center"/>
    </xf>
    <xf numFmtId="0" fontId="32" fillId="0" borderId="35" xfId="110" applyFont="1" applyBorder="1" applyAlignment="1">
      <alignment horizontal="center" vertical="center"/>
    </xf>
    <xf numFmtId="0" fontId="32" fillId="0" borderId="48" xfId="110" applyFont="1" applyBorder="1" applyAlignment="1">
      <alignment horizontal="center" vertical="center"/>
    </xf>
    <xf numFmtId="0" fontId="32" fillId="0" borderId="36" xfId="110" applyFont="1" applyBorder="1" applyAlignment="1">
      <alignment horizontal="center" vertical="center"/>
    </xf>
    <xf numFmtId="0" fontId="38" fillId="0" borderId="1" xfId="110" applyFont="1" applyBorder="1" applyAlignment="1">
      <alignment horizontal="center"/>
    </xf>
    <xf numFmtId="0" fontId="6" fillId="0" borderId="1" xfId="23" applyBorder="1"/>
    <xf numFmtId="0" fontId="38" fillId="0" borderId="0" xfId="110" applyFont="1" applyAlignment="1">
      <alignment horizontal="center"/>
    </xf>
    <xf numFmtId="0" fontId="43" fillId="0" borderId="22" xfId="110" applyFont="1" applyBorder="1" applyAlignment="1">
      <alignment horizontal="center" vertical="center"/>
    </xf>
    <xf numFmtId="0" fontId="40" fillId="0" borderId="46" xfId="110" applyFont="1" applyBorder="1" applyAlignment="1">
      <alignment horizontal="center" vertical="center" wrapText="1"/>
    </xf>
    <xf numFmtId="0" fontId="40" fillId="0" borderId="71" xfId="110" applyFont="1" applyBorder="1" applyAlignment="1">
      <alignment horizontal="center" vertical="center" wrapText="1"/>
    </xf>
    <xf numFmtId="0" fontId="43" fillId="0" borderId="23" xfId="110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horizontal="left" vertical="center"/>
    </xf>
    <xf numFmtId="0" fontId="11" fillId="20" borderId="9" xfId="1" applyFont="1" applyFill="1" applyBorder="1" applyAlignment="1">
      <alignment horizontal="center" vertical="center"/>
    </xf>
    <xf numFmtId="0" fontId="11" fillId="20" borderId="15" xfId="1" applyFont="1" applyFill="1" applyBorder="1" applyAlignment="1">
      <alignment horizontal="center" vertical="center"/>
    </xf>
    <xf numFmtId="0" fontId="11" fillId="20" borderId="71" xfId="1" applyFont="1" applyFill="1" applyBorder="1" applyAlignment="1">
      <alignment horizontal="center" vertical="center"/>
    </xf>
    <xf numFmtId="0" fontId="11" fillId="20" borderId="22" xfId="1" applyFont="1" applyFill="1" applyBorder="1" applyAlignment="1">
      <alignment horizontal="center" vertical="center"/>
    </xf>
    <xf numFmtId="0" fontId="11" fillId="20" borderId="46" xfId="1" applyFont="1" applyFill="1" applyBorder="1" applyAlignment="1">
      <alignment horizontal="center" vertical="center"/>
    </xf>
    <xf numFmtId="0" fontId="11" fillId="20" borderId="21" xfId="1" applyFont="1" applyFill="1" applyBorder="1" applyAlignment="1">
      <alignment horizontal="center" vertical="center"/>
    </xf>
    <xf numFmtId="0" fontId="11" fillId="20" borderId="23" xfId="1" applyFont="1" applyFill="1" applyBorder="1" applyAlignment="1">
      <alignment horizontal="center" vertical="center"/>
    </xf>
    <xf numFmtId="0" fontId="103" fillId="0" borderId="0" xfId="1" applyFont="1" applyFill="1" applyAlignment="1">
      <alignment horizontal="center" vertical="center"/>
    </xf>
    <xf numFmtId="0" fontId="62" fillId="0" borderId="0" xfId="1" applyFont="1" applyFill="1" applyAlignment="1">
      <alignment horizontal="center" vertical="center"/>
    </xf>
    <xf numFmtId="0" fontId="62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right" vertical="center"/>
    </xf>
    <xf numFmtId="0" fontId="40" fillId="0" borderId="0" xfId="1" applyFont="1" applyFill="1" applyAlignment="1">
      <alignment horizontal="right"/>
    </xf>
    <xf numFmtId="0" fontId="11" fillId="20" borderId="30" xfId="1" applyFont="1" applyFill="1" applyBorder="1" applyAlignment="1">
      <alignment horizontal="center" vertical="center"/>
    </xf>
    <xf numFmtId="0" fontId="11" fillId="20" borderId="31" xfId="1" applyFont="1" applyFill="1" applyBorder="1" applyAlignment="1">
      <alignment horizontal="center" vertical="center"/>
    </xf>
    <xf numFmtId="0" fontId="11" fillId="20" borderId="32" xfId="1" applyFont="1" applyFill="1" applyBorder="1" applyAlignment="1">
      <alignment horizontal="center" vertical="center"/>
    </xf>
    <xf numFmtId="3" fontId="36" fillId="2" borderId="2" xfId="1" applyNumberFormat="1" applyFont="1" applyFill="1" applyBorder="1" applyAlignment="1">
      <alignment horizontal="center" vertical="center"/>
    </xf>
    <xf numFmtId="3" fontId="36" fillId="2" borderId="2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right"/>
    </xf>
    <xf numFmtId="3" fontId="40" fillId="0" borderId="0" xfId="1" applyNumberFormat="1" applyFont="1" applyFill="1" applyAlignment="1">
      <alignment horizontal="right"/>
    </xf>
    <xf numFmtId="3" fontId="18" fillId="0" borderId="60" xfId="158" applyNumberFormat="1" applyFont="1" applyBorder="1" applyAlignment="1">
      <alignment horizontal="center" wrapText="1"/>
    </xf>
    <xf numFmtId="3" fontId="18" fillId="0" borderId="61" xfId="158" applyNumberFormat="1" applyFont="1" applyBorder="1" applyAlignment="1">
      <alignment horizontal="center" wrapText="1"/>
    </xf>
    <xf numFmtId="3" fontId="9" fillId="0" borderId="20" xfId="1" applyNumberFormat="1" applyFont="1" applyFill="1" applyBorder="1" applyAlignment="1">
      <alignment horizontal="right"/>
    </xf>
    <xf numFmtId="0" fontId="40" fillId="0" borderId="0" xfId="22" applyFont="1" applyFill="1" applyBorder="1" applyAlignment="1" applyProtection="1">
      <alignment horizontal="right"/>
      <protection locked="0"/>
    </xf>
    <xf numFmtId="0" fontId="22" fillId="0" borderId="0" xfId="22" applyFont="1" applyFill="1" applyBorder="1" applyAlignment="1" applyProtection="1">
      <alignment horizontal="center" vertical="center"/>
      <protection locked="0"/>
    </xf>
    <xf numFmtId="0" fontId="23" fillId="0" borderId="0" xfId="22" applyFont="1" applyFill="1" applyBorder="1" applyAlignment="1" applyProtection="1">
      <alignment horizontal="left" vertical="center"/>
      <protection locked="0"/>
    </xf>
    <xf numFmtId="0" fontId="12" fillId="31" borderId="9" xfId="22" applyFont="1" applyFill="1" applyBorder="1" applyAlignment="1" applyProtection="1">
      <alignment horizontal="center" vertical="center"/>
      <protection locked="0"/>
    </xf>
    <xf numFmtId="0" fontId="12" fillId="31" borderId="15" xfId="22" applyFont="1" applyFill="1" applyBorder="1" applyAlignment="1" applyProtection="1">
      <alignment horizontal="center" vertical="center"/>
      <protection locked="0"/>
    </xf>
    <xf numFmtId="0" fontId="12" fillId="31" borderId="71" xfId="22" applyFont="1" applyFill="1" applyBorder="1" applyAlignment="1" applyProtection="1">
      <alignment horizontal="center" vertical="center"/>
      <protection locked="0"/>
    </xf>
    <xf numFmtId="0" fontId="12" fillId="31" borderId="46" xfId="22" applyFont="1" applyFill="1" applyBorder="1" applyAlignment="1" applyProtection="1">
      <alignment horizontal="center" vertical="center"/>
      <protection locked="0"/>
    </xf>
    <xf numFmtId="0" fontId="12" fillId="31" borderId="8" xfId="22" applyFont="1" applyFill="1" applyBorder="1" applyAlignment="1" applyProtection="1">
      <alignment horizontal="center" vertical="center"/>
      <protection locked="0"/>
    </xf>
    <xf numFmtId="0" fontId="12" fillId="31" borderId="14" xfId="22" applyFont="1" applyFill="1" applyBorder="1" applyAlignment="1" applyProtection="1">
      <alignment horizontal="center" vertical="center"/>
      <protection locked="0"/>
    </xf>
    <xf numFmtId="0" fontId="12" fillId="31" borderId="23" xfId="22" applyFont="1" applyFill="1" applyBorder="1" applyAlignment="1" applyProtection="1">
      <alignment horizontal="center" vertical="center"/>
      <protection locked="0"/>
    </xf>
    <xf numFmtId="0" fontId="12" fillId="31" borderId="32" xfId="22" applyFont="1" applyFill="1" applyBorder="1" applyAlignment="1" applyProtection="1">
      <alignment horizontal="center" vertical="center"/>
      <protection locked="0"/>
    </xf>
    <xf numFmtId="0" fontId="9" fillId="0" borderId="0" xfId="22" applyFont="1" applyFill="1" applyBorder="1" applyAlignment="1" applyProtection="1">
      <alignment horizontal="right" vertical="center" wrapText="1" readingOrder="2"/>
      <protection locked="0"/>
    </xf>
    <xf numFmtId="0" fontId="9" fillId="0" borderId="0" xfId="22" applyFont="1" applyFill="1" applyBorder="1" applyAlignment="1" applyProtection="1">
      <alignment horizontal="right" vertical="center" readingOrder="2"/>
      <protection locked="0"/>
    </xf>
    <xf numFmtId="0" fontId="8" fillId="0" borderId="0" xfId="4" applyFont="1" applyFill="1" applyAlignment="1">
      <alignment horizontal="center" vertical="center"/>
    </xf>
    <xf numFmtId="0" fontId="23" fillId="0" borderId="1" xfId="4" applyFont="1" applyFill="1" applyBorder="1" applyAlignment="1">
      <alignment horizontal="left" vertical="center"/>
    </xf>
    <xf numFmtId="0" fontId="12" fillId="0" borderId="0" xfId="4" applyFont="1" applyFill="1" applyAlignment="1">
      <alignment horizontal="right" vertical="center" wrapText="1" indent="1"/>
    </xf>
    <xf numFmtId="0" fontId="112" fillId="0" borderId="0" xfId="22" applyFont="1" applyBorder="1" applyAlignment="1">
      <alignment horizontal="right"/>
    </xf>
    <xf numFmtId="0" fontId="50" fillId="0" borderId="0" xfId="22" applyFont="1" applyFill="1" applyBorder="1" applyAlignment="1">
      <alignment horizontal="center" vertical="center"/>
    </xf>
    <xf numFmtId="0" fontId="110" fillId="0" borderId="1" xfId="22" applyFont="1" applyFill="1" applyBorder="1" applyAlignment="1">
      <alignment horizontal="left" vertical="center"/>
    </xf>
    <xf numFmtId="0" fontId="200" fillId="0" borderId="0" xfId="158" applyFont="1" applyFill="1" applyBorder="1" applyAlignment="1">
      <alignment horizontal="right" wrapText="1"/>
    </xf>
    <xf numFmtId="0" fontId="111" fillId="0" borderId="0" xfId="158" applyFont="1" applyFill="1" applyBorder="1" applyAlignment="1">
      <alignment horizontal="right" wrapText="1"/>
    </xf>
    <xf numFmtId="0" fontId="119" fillId="0" borderId="20" xfId="22" applyFont="1" applyFill="1" applyBorder="1" applyAlignment="1">
      <alignment horizontal="right" vertical="center" wrapText="1" readingOrder="2"/>
    </xf>
    <xf numFmtId="0" fontId="119" fillId="0" borderId="0" xfId="158" applyFont="1" applyFill="1" applyBorder="1" applyAlignment="1">
      <alignment horizontal="right" vertical="center"/>
    </xf>
    <xf numFmtId="0" fontId="119" fillId="28" borderId="17" xfId="22" applyFont="1" applyFill="1" applyBorder="1" applyAlignment="1">
      <alignment horizontal="center" vertical="center"/>
    </xf>
    <xf numFmtId="0" fontId="119" fillId="28" borderId="19" xfId="22" applyFont="1" applyFill="1" applyBorder="1" applyAlignment="1">
      <alignment horizontal="center" vertical="center"/>
    </xf>
    <xf numFmtId="179" fontId="119" fillId="2" borderId="17" xfId="22" applyNumberFormat="1" applyFont="1" applyFill="1" applyBorder="1" applyAlignment="1">
      <alignment horizontal="center" vertical="center" readingOrder="2"/>
    </xf>
    <xf numFmtId="179" fontId="119" fillId="2" borderId="19" xfId="22" applyNumberFormat="1" applyFont="1" applyFill="1" applyBorder="1" applyAlignment="1">
      <alignment horizontal="center" vertical="center" readingOrder="2"/>
    </xf>
    <xf numFmtId="0" fontId="119" fillId="20" borderId="42" xfId="22" applyFont="1" applyFill="1" applyBorder="1" applyAlignment="1">
      <alignment horizontal="center" vertical="center"/>
    </xf>
    <xf numFmtId="0" fontId="119" fillId="20" borderId="44" xfId="22" applyFont="1" applyFill="1" applyBorder="1" applyAlignment="1">
      <alignment horizontal="center" vertical="center"/>
    </xf>
    <xf numFmtId="179" fontId="119" fillId="20" borderId="17" xfId="22" applyNumberFormat="1" applyFont="1" applyFill="1" applyBorder="1" applyAlignment="1">
      <alignment horizontal="center" vertical="center" readingOrder="2"/>
    </xf>
    <xf numFmtId="179" fontId="119" fillId="20" borderId="19" xfId="22" applyNumberFormat="1" applyFont="1" applyFill="1" applyBorder="1" applyAlignment="1">
      <alignment horizontal="center" vertical="center" readingOrder="2"/>
    </xf>
    <xf numFmtId="0" fontId="119" fillId="28" borderId="5" xfId="22" applyFont="1" applyFill="1" applyBorder="1" applyAlignment="1">
      <alignment horizontal="center" vertical="center"/>
    </xf>
    <xf numFmtId="0" fontId="119" fillId="28" borderId="7" xfId="22" applyFont="1" applyFill="1" applyBorder="1" applyAlignment="1">
      <alignment horizontal="center" vertical="center"/>
    </xf>
    <xf numFmtId="179" fontId="119" fillId="2" borderId="5" xfId="22" applyNumberFormat="1" applyFont="1" applyFill="1" applyBorder="1" applyAlignment="1">
      <alignment horizontal="center" vertical="center" readingOrder="2"/>
    </xf>
    <xf numFmtId="179" fontId="119" fillId="2" borderId="7" xfId="22" applyNumberFormat="1" applyFont="1" applyFill="1" applyBorder="1" applyAlignment="1">
      <alignment horizontal="center" vertical="center" readingOrder="2"/>
    </xf>
    <xf numFmtId="0" fontId="119" fillId="20" borderId="2" xfId="22" applyFont="1" applyFill="1" applyBorder="1" applyAlignment="1">
      <alignment horizontal="center" vertical="center" readingOrder="2"/>
    </xf>
    <xf numFmtId="0" fontId="119" fillId="20" borderId="4" xfId="22" applyFont="1" applyFill="1" applyBorder="1" applyAlignment="1">
      <alignment horizontal="center" vertical="center" readingOrder="2"/>
    </xf>
    <xf numFmtId="0" fontId="119" fillId="28" borderId="2" xfId="22" applyFont="1" applyFill="1" applyBorder="1" applyAlignment="1">
      <alignment horizontal="center" vertical="center"/>
    </xf>
    <xf numFmtId="0" fontId="119" fillId="28" borderId="4" xfId="22" applyFont="1" applyFill="1" applyBorder="1" applyAlignment="1">
      <alignment horizontal="center" vertical="center"/>
    </xf>
    <xf numFmtId="179" fontId="119" fillId="2" borderId="2" xfId="22" applyNumberFormat="1" applyFont="1" applyFill="1" applyBorder="1" applyAlignment="1">
      <alignment horizontal="center" vertical="center" readingOrder="2"/>
    </xf>
    <xf numFmtId="179" fontId="119" fillId="2" borderId="4" xfId="22" applyNumberFormat="1" applyFont="1" applyFill="1" applyBorder="1" applyAlignment="1">
      <alignment horizontal="center" vertical="center" readingOrder="2"/>
    </xf>
    <xf numFmtId="49" fontId="119" fillId="28" borderId="24" xfId="22" applyNumberFormat="1" applyFont="1" applyFill="1" applyBorder="1" applyAlignment="1">
      <alignment horizontal="center" vertical="center"/>
    </xf>
    <xf numFmtId="49" fontId="119" fillId="28" borderId="26" xfId="22" applyNumberFormat="1" applyFont="1" applyFill="1" applyBorder="1" applyAlignment="1">
      <alignment horizontal="center" vertical="center"/>
    </xf>
    <xf numFmtId="0" fontId="119" fillId="28" borderId="39" xfId="22" applyFont="1" applyFill="1" applyBorder="1" applyAlignment="1">
      <alignment horizontal="center" vertical="center"/>
    </xf>
    <xf numFmtId="0" fontId="119" fillId="28" borderId="40" xfId="22" applyFont="1" applyFill="1" applyBorder="1" applyAlignment="1">
      <alignment horizontal="center" vertical="center"/>
    </xf>
    <xf numFmtId="0" fontId="119" fillId="20" borderId="35" xfId="22" applyFont="1" applyFill="1" applyBorder="1" applyAlignment="1">
      <alignment horizontal="center" vertical="center"/>
    </xf>
    <xf numFmtId="0" fontId="119" fillId="20" borderId="36" xfId="22" applyFont="1" applyFill="1" applyBorder="1" applyAlignment="1">
      <alignment horizontal="center" vertical="center"/>
    </xf>
    <xf numFmtId="0" fontId="203" fillId="0" borderId="0" xfId="22" applyFont="1" applyFill="1" applyAlignment="1">
      <alignment horizontal="center" vertical="center"/>
    </xf>
    <xf numFmtId="0" fontId="202" fillId="0" borderId="0" xfId="22" applyFont="1" applyFill="1" applyAlignment="1">
      <alignment horizontal="left" vertical="center"/>
    </xf>
    <xf numFmtId="0" fontId="119" fillId="28" borderId="24" xfId="22" applyFont="1" applyFill="1" applyBorder="1" applyAlignment="1">
      <alignment horizontal="center" vertical="center"/>
    </xf>
    <xf numFmtId="0" fontId="119" fillId="28" borderId="26" xfId="22" applyFont="1" applyFill="1" applyBorder="1" applyAlignment="1">
      <alignment horizontal="center" vertical="center"/>
    </xf>
    <xf numFmtId="0" fontId="50" fillId="0" borderId="0" xfId="22" applyFont="1" applyFill="1" applyAlignment="1">
      <alignment horizontal="center" vertical="center"/>
    </xf>
    <xf numFmtId="0" fontId="10" fillId="0" borderId="0" xfId="22" applyFont="1" applyFill="1" applyAlignment="1">
      <alignment horizontal="left" vertical="center"/>
    </xf>
    <xf numFmtId="0" fontId="119" fillId="28" borderId="35" xfId="22" applyFont="1" applyFill="1" applyBorder="1" applyAlignment="1">
      <alignment horizontal="center" vertical="center"/>
    </xf>
    <xf numFmtId="0" fontId="119" fillId="28" borderId="36" xfId="22" applyFont="1" applyFill="1" applyBorder="1" applyAlignment="1">
      <alignment horizontal="center" vertical="center"/>
    </xf>
    <xf numFmtId="0" fontId="119" fillId="28" borderId="37" xfId="22" applyFont="1" applyFill="1" applyBorder="1" applyAlignment="1">
      <alignment horizontal="center" vertical="center"/>
    </xf>
    <xf numFmtId="0" fontId="119" fillId="28" borderId="38" xfId="22" applyFont="1" applyFill="1" applyBorder="1" applyAlignment="1">
      <alignment horizontal="center" vertical="center"/>
    </xf>
    <xf numFmtId="0" fontId="11" fillId="0" borderId="20" xfId="1" applyFont="1" applyFill="1" applyBorder="1" applyAlignment="1">
      <alignment horizontal="right" vertical="center" indent="1"/>
    </xf>
    <xf numFmtId="0" fontId="18" fillId="0" borderId="0" xfId="1" applyFont="1" applyFill="1" applyAlignment="1">
      <alignment horizontal="right" vertical="center" wrapText="1" indent="1" readingOrder="2"/>
    </xf>
    <xf numFmtId="0" fontId="18" fillId="0" borderId="0" xfId="1" applyFont="1" applyFill="1" applyAlignment="1">
      <alignment horizontal="right" vertical="center" wrapText="1" indent="1"/>
    </xf>
    <xf numFmtId="0" fontId="19" fillId="0" borderId="0" xfId="1" applyFont="1" applyFill="1" applyAlignment="1">
      <alignment horizontal="center" vertical="justify"/>
    </xf>
    <xf numFmtId="0" fontId="20" fillId="0" borderId="0" xfId="1" applyFont="1" applyFill="1" applyAlignment="1">
      <alignment horizontal="right" vertical="center" indent="1"/>
    </xf>
    <xf numFmtId="0" fontId="8" fillId="0" borderId="0" xfId="1" applyFont="1" applyFill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12" fillId="20" borderId="2" xfId="1" applyFont="1" applyFill="1" applyBorder="1" applyAlignment="1">
      <alignment horizontal="center" vertical="center"/>
    </xf>
    <xf numFmtId="0" fontId="12" fillId="20" borderId="5" xfId="1" applyFont="1" applyFill="1" applyBorder="1" applyAlignment="1">
      <alignment horizontal="center" vertical="center"/>
    </xf>
    <xf numFmtId="0" fontId="12" fillId="20" borderId="3" xfId="1" applyFont="1" applyFill="1" applyBorder="1" applyAlignment="1">
      <alignment horizontal="center" vertical="center" wrapText="1"/>
    </xf>
    <xf numFmtId="0" fontId="12" fillId="20" borderId="6" xfId="1" applyFont="1" applyFill="1" applyBorder="1" applyAlignment="1">
      <alignment horizontal="center" vertical="center" wrapText="1"/>
    </xf>
    <xf numFmtId="0" fontId="12" fillId="20" borderId="3" xfId="1" applyFont="1" applyFill="1" applyBorder="1" applyAlignment="1">
      <alignment horizontal="center" vertical="center"/>
    </xf>
    <xf numFmtId="0" fontId="12" fillId="20" borderId="4" xfId="1" applyFont="1" applyFill="1" applyBorder="1" applyAlignment="1">
      <alignment horizontal="center" vertical="center" wrapText="1"/>
    </xf>
    <xf numFmtId="0" fontId="12" fillId="20" borderId="7" xfId="1" applyFont="1" applyFill="1" applyBorder="1" applyAlignment="1">
      <alignment horizontal="center" vertical="center" wrapText="1"/>
    </xf>
    <xf numFmtId="0" fontId="24" fillId="28" borderId="30" xfId="1" applyFont="1" applyFill="1" applyBorder="1" applyAlignment="1">
      <alignment horizontal="center" vertical="center"/>
    </xf>
    <xf numFmtId="0" fontId="24" fillId="28" borderId="31" xfId="1" applyFont="1" applyFill="1" applyBorder="1" applyAlignment="1">
      <alignment horizontal="center" vertical="center"/>
    </xf>
    <xf numFmtId="9" fontId="25" fillId="0" borderId="31" xfId="3" applyFont="1" applyFill="1" applyBorder="1" applyAlignment="1">
      <alignment horizontal="center" vertical="center"/>
    </xf>
    <xf numFmtId="9" fontId="25" fillId="0" borderId="32" xfId="3" applyFont="1" applyFill="1" applyBorder="1" applyAlignment="1">
      <alignment horizontal="center" vertical="center"/>
    </xf>
    <xf numFmtId="0" fontId="12" fillId="0" borderId="0" xfId="1" applyFont="1" applyFill="1" applyAlignment="1">
      <alignment horizontal="right"/>
    </xf>
    <xf numFmtId="0" fontId="26" fillId="0" borderId="0" xfId="1" applyFont="1" applyFill="1" applyAlignment="1">
      <alignment horizontal="right" vertical="center" wrapText="1" readingOrder="2"/>
    </xf>
    <xf numFmtId="0" fontId="26" fillId="0" borderId="0" xfId="1" applyFont="1" applyFill="1" applyAlignment="1">
      <alignment horizontal="right" vertical="center" wrapText="1"/>
    </xf>
    <xf numFmtId="0" fontId="24" fillId="28" borderId="24" xfId="1" applyFont="1" applyFill="1" applyBorder="1" applyAlignment="1">
      <alignment horizontal="center" vertical="center"/>
    </xf>
    <xf numFmtId="0" fontId="24" fillId="28" borderId="92" xfId="1" applyFont="1" applyFill="1" applyBorder="1" applyAlignment="1">
      <alignment horizontal="center" vertical="center"/>
    </xf>
    <xf numFmtId="9" fontId="25" fillId="0" borderId="92" xfId="3" applyFont="1" applyFill="1" applyBorder="1" applyAlignment="1">
      <alignment horizontal="center" vertical="center"/>
    </xf>
    <xf numFmtId="9" fontId="25" fillId="0" borderId="26" xfId="3" applyFont="1" applyFill="1" applyBorder="1" applyAlignment="1">
      <alignment horizontal="center" vertical="center"/>
    </xf>
    <xf numFmtId="0" fontId="24" fillId="28" borderId="11" xfId="1" applyFont="1" applyFill="1" applyBorder="1" applyAlignment="1">
      <alignment horizontal="center" vertical="center"/>
    </xf>
    <xf numFmtId="0" fontId="24" fillId="28" borderId="27" xfId="1" applyFont="1" applyFill="1" applyBorder="1" applyAlignment="1">
      <alignment horizontal="center" vertical="center"/>
    </xf>
    <xf numFmtId="9" fontId="25" fillId="0" borderId="93" xfId="3" applyFont="1" applyFill="1" applyBorder="1" applyAlignment="1">
      <alignment horizontal="center" vertical="center"/>
    </xf>
    <xf numFmtId="9" fontId="25" fillId="0" borderId="13" xfId="3" applyFont="1" applyFill="1" applyBorder="1" applyAlignment="1">
      <alignment horizontal="center" vertical="center"/>
    </xf>
    <xf numFmtId="0" fontId="22" fillId="0" borderId="0" xfId="1" applyFont="1" applyFill="1" applyAlignment="1">
      <alignment horizontal="center"/>
    </xf>
    <xf numFmtId="0" fontId="11" fillId="20" borderId="2" xfId="1" applyFont="1" applyFill="1" applyBorder="1" applyAlignment="1">
      <alignment horizontal="center" vertical="center"/>
    </xf>
    <xf numFmtId="0" fontId="11" fillId="20" borderId="4" xfId="1" applyFont="1" applyFill="1" applyBorder="1" applyAlignment="1">
      <alignment horizontal="center" vertical="center"/>
    </xf>
    <xf numFmtId="0" fontId="11" fillId="20" borderId="20" xfId="1" applyFont="1" applyFill="1" applyBorder="1" applyAlignment="1">
      <alignment horizontal="center" vertical="justify" wrapText="1"/>
    </xf>
    <xf numFmtId="0" fontId="11" fillId="20" borderId="4" xfId="1" applyFont="1" applyFill="1" applyBorder="1" applyAlignment="1">
      <alignment horizontal="center" vertical="justify" wrapText="1"/>
    </xf>
    <xf numFmtId="0" fontId="24" fillId="28" borderId="21" xfId="1" applyFont="1" applyFill="1" applyBorder="1" applyAlignment="1">
      <alignment horizontal="center" vertical="center"/>
    </xf>
    <xf numFmtId="0" fontId="24" fillId="28" borderId="22" xfId="1" applyFont="1" applyFill="1" applyBorder="1" applyAlignment="1">
      <alignment horizontal="center" vertical="center"/>
    </xf>
    <xf numFmtId="9" fontId="25" fillId="0" borderId="22" xfId="3" applyFont="1" applyFill="1" applyBorder="1" applyAlignment="1">
      <alignment horizontal="center" vertical="center"/>
    </xf>
    <xf numFmtId="9" fontId="25" fillId="0" borderId="23" xfId="3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left"/>
    </xf>
    <xf numFmtId="0" fontId="43" fillId="28" borderId="5" xfId="8" applyFont="1" applyFill="1" applyBorder="1" applyAlignment="1">
      <alignment horizontal="center" vertical="center"/>
    </xf>
    <xf numFmtId="0" fontId="43" fillId="28" borderId="7" xfId="8" applyFont="1" applyFill="1" applyBorder="1" applyAlignment="1">
      <alignment horizontal="center" vertical="center"/>
    </xf>
    <xf numFmtId="0" fontId="43" fillId="28" borderId="17" xfId="8" applyFont="1" applyFill="1" applyBorder="1" applyAlignment="1">
      <alignment horizontal="center" vertical="center"/>
    </xf>
    <xf numFmtId="0" fontId="43" fillId="28" borderId="19" xfId="8" applyFont="1" applyFill="1" applyBorder="1" applyAlignment="1">
      <alignment horizontal="center" vertical="center"/>
    </xf>
    <xf numFmtId="0" fontId="12" fillId="20" borderId="42" xfId="8" applyFont="1" applyFill="1" applyBorder="1" applyAlignment="1">
      <alignment horizontal="center" vertical="center"/>
    </xf>
    <xf numFmtId="0" fontId="12" fillId="20" borderId="44" xfId="8" applyFont="1" applyFill="1" applyBorder="1" applyAlignment="1">
      <alignment horizontal="center" vertical="center"/>
    </xf>
    <xf numFmtId="0" fontId="31" fillId="0" borderId="0" xfId="8" applyFont="1" applyAlignment="1">
      <alignment horizontal="center" vertical="center"/>
    </xf>
    <xf numFmtId="0" fontId="12" fillId="0" borderId="2" xfId="8" applyFont="1" applyBorder="1" applyAlignment="1">
      <alignment horizontal="center" vertical="center"/>
    </xf>
    <xf numFmtId="0" fontId="12" fillId="0" borderId="4" xfId="8" applyFont="1" applyBorder="1" applyAlignment="1">
      <alignment horizontal="center" vertical="center"/>
    </xf>
    <xf numFmtId="0" fontId="11" fillId="0" borderId="94" xfId="8" applyFont="1" applyBorder="1" applyAlignment="1">
      <alignment horizontal="center" vertical="center"/>
    </xf>
    <xf numFmtId="0" fontId="11" fillId="0" borderId="10" xfId="8" applyFont="1" applyBorder="1" applyAlignment="1">
      <alignment horizontal="center" vertical="center"/>
    </xf>
    <xf numFmtId="0" fontId="11" fillId="0" borderId="4" xfId="8" applyFont="1" applyBorder="1" applyAlignment="1">
      <alignment horizontal="center" vertical="center"/>
    </xf>
    <xf numFmtId="0" fontId="11" fillId="0" borderId="7" xfId="8" applyFont="1" applyBorder="1" applyAlignment="1">
      <alignment horizontal="center" vertical="center"/>
    </xf>
    <xf numFmtId="0" fontId="12" fillId="0" borderId="17" xfId="8" applyFont="1" applyBorder="1" applyAlignment="1">
      <alignment horizontal="center" vertical="center"/>
    </xf>
    <xf numFmtId="0" fontId="12" fillId="0" borderId="19" xfId="8" applyFont="1" applyBorder="1" applyAlignment="1">
      <alignment horizontal="center" vertical="center"/>
    </xf>
    <xf numFmtId="0" fontId="31" fillId="0" borderId="1" xfId="8" applyFont="1" applyBorder="1" applyAlignment="1">
      <alignment horizontal="center" vertical="center"/>
    </xf>
    <xf numFmtId="0" fontId="43" fillId="28" borderId="2" xfId="8" applyFont="1" applyFill="1" applyBorder="1" applyAlignment="1">
      <alignment horizontal="center" vertical="center"/>
    </xf>
    <xf numFmtId="0" fontId="43" fillId="28" borderId="4" xfId="8" applyFont="1" applyFill="1" applyBorder="1" applyAlignment="1">
      <alignment horizontal="center" vertical="center"/>
    </xf>
    <xf numFmtId="0" fontId="11" fillId="0" borderId="42" xfId="8" applyFont="1" applyBorder="1" applyAlignment="1">
      <alignment horizontal="center" vertical="center"/>
    </xf>
    <xf numFmtId="0" fontId="11" fillId="0" borderId="44" xfId="8" applyFont="1" applyBorder="1" applyAlignment="1">
      <alignment horizontal="center" vertical="center"/>
    </xf>
    <xf numFmtId="0" fontId="11" fillId="20" borderId="14" xfId="8" applyFont="1" applyFill="1" applyBorder="1" applyAlignment="1">
      <alignment horizontal="center" vertical="center"/>
    </xf>
    <xf numFmtId="0" fontId="11" fillId="20" borderId="90" xfId="8" applyFont="1" applyFill="1" applyBorder="1" applyAlignment="1">
      <alignment horizontal="center" vertical="center"/>
    </xf>
    <xf numFmtId="0" fontId="25" fillId="20" borderId="14" xfId="8" applyFont="1" applyFill="1" applyBorder="1" applyAlignment="1">
      <alignment horizontal="center" vertical="center"/>
    </xf>
    <xf numFmtId="0" fontId="25" fillId="20" borderId="91" xfId="8" applyFont="1" applyFill="1" applyBorder="1" applyAlignment="1">
      <alignment horizontal="center" vertical="center"/>
    </xf>
    <xf numFmtId="0" fontId="36" fillId="0" borderId="1" xfId="8" applyFont="1" applyBorder="1" applyAlignment="1">
      <alignment horizontal="center" vertical="center" wrapText="1"/>
    </xf>
    <xf numFmtId="0" fontId="11" fillId="0" borderId="0" xfId="8" applyFont="1" applyAlignment="1">
      <alignment horizontal="center" vertical="center"/>
    </xf>
    <xf numFmtId="0" fontId="11" fillId="0" borderId="3" xfId="8" applyFont="1" applyBorder="1" applyAlignment="1">
      <alignment horizontal="center" vertical="center"/>
    </xf>
    <xf numFmtId="0" fontId="11" fillId="0" borderId="6" xfId="8" applyFont="1" applyBorder="1" applyAlignment="1">
      <alignment horizontal="center" vertical="center"/>
    </xf>
    <xf numFmtId="0" fontId="11" fillId="0" borderId="20" xfId="8" applyFont="1" applyBorder="1" applyAlignment="1">
      <alignment horizontal="center" vertical="center"/>
    </xf>
    <xf numFmtId="0" fontId="11" fillId="0" borderId="18" xfId="8" applyFont="1" applyBorder="1" applyAlignment="1">
      <alignment horizontal="center" vertical="center"/>
    </xf>
    <xf numFmtId="0" fontId="11" fillId="28" borderId="2" xfId="8" applyFont="1" applyFill="1" applyBorder="1" applyAlignment="1">
      <alignment horizontal="center" vertical="center"/>
    </xf>
    <xf numFmtId="0" fontId="11" fillId="28" borderId="20" xfId="8" applyFont="1" applyFill="1" applyBorder="1" applyAlignment="1">
      <alignment horizontal="center" vertical="center"/>
    </xf>
    <xf numFmtId="0" fontId="11" fillId="28" borderId="65" xfId="8" applyFont="1" applyFill="1" applyBorder="1" applyAlignment="1">
      <alignment horizontal="center" vertical="center"/>
    </xf>
    <xf numFmtId="0" fontId="11" fillId="28" borderId="95" xfId="8" applyFont="1" applyFill="1" applyBorder="1" applyAlignment="1">
      <alignment horizontal="center" vertical="center"/>
    </xf>
    <xf numFmtId="0" fontId="25" fillId="0" borderId="5" xfId="8" applyFont="1" applyBorder="1" applyAlignment="1">
      <alignment horizontal="center" vertical="center"/>
    </xf>
    <xf numFmtId="0" fontId="25" fillId="0" borderId="79" xfId="8" applyFont="1" applyBorder="1" applyAlignment="1">
      <alignment horizontal="center" vertical="center"/>
    </xf>
    <xf numFmtId="0" fontId="25" fillId="0" borderId="65" xfId="8" applyFont="1" applyBorder="1" applyAlignment="1">
      <alignment horizontal="center" vertical="center"/>
    </xf>
    <xf numFmtId="0" fontId="25" fillId="0" borderId="72" xfId="8" applyFont="1" applyBorder="1" applyAlignment="1">
      <alignment horizontal="center" vertical="center"/>
    </xf>
    <xf numFmtId="0" fontId="25" fillId="0" borderId="63" xfId="8" applyFont="1" applyBorder="1" applyAlignment="1">
      <alignment horizontal="center" vertical="center"/>
    </xf>
    <xf numFmtId="0" fontId="25" fillId="0" borderId="7" xfId="8" applyFont="1" applyBorder="1" applyAlignment="1">
      <alignment horizontal="center" vertical="center"/>
    </xf>
    <xf numFmtId="0" fontId="11" fillId="28" borderId="52" xfId="8" applyFont="1" applyFill="1" applyBorder="1" applyAlignment="1">
      <alignment horizontal="center" vertical="center"/>
    </xf>
    <xf numFmtId="0" fontId="11" fillId="28" borderId="96" xfId="8" applyFont="1" applyFill="1" applyBorder="1" applyAlignment="1">
      <alignment horizontal="center" vertical="center"/>
    </xf>
    <xf numFmtId="0" fontId="25" fillId="0" borderId="52" xfId="8" applyFont="1" applyBorder="1" applyAlignment="1">
      <alignment horizontal="center" vertical="center"/>
    </xf>
    <xf numFmtId="0" fontId="25" fillId="0" borderId="53" xfId="8" applyFont="1" applyBorder="1" applyAlignment="1">
      <alignment horizontal="center" vertical="center"/>
    </xf>
    <xf numFmtId="0" fontId="25" fillId="0" borderId="56" xfId="8" applyFont="1" applyBorder="1" applyAlignment="1">
      <alignment horizontal="center" vertical="center"/>
    </xf>
    <xf numFmtId="0" fontId="25" fillId="0" borderId="34" xfId="8" applyFont="1" applyBorder="1" applyAlignment="1">
      <alignment horizontal="center" vertical="center"/>
    </xf>
    <xf numFmtId="0" fontId="25" fillId="0" borderId="50" xfId="8" applyFont="1" applyBorder="1" applyAlignment="1">
      <alignment horizontal="center" vertical="center"/>
    </xf>
    <xf numFmtId="0" fontId="25" fillId="0" borderId="66" xfId="8" applyFont="1" applyBorder="1" applyAlignment="1">
      <alignment horizontal="center" vertical="center"/>
    </xf>
    <xf numFmtId="0" fontId="11" fillId="20" borderId="42" xfId="8" applyFont="1" applyFill="1" applyBorder="1" applyAlignment="1">
      <alignment horizontal="center" vertical="center"/>
    </xf>
    <xf numFmtId="0" fontId="11" fillId="20" borderId="43" xfId="8" applyFont="1" applyFill="1" applyBorder="1" applyAlignment="1">
      <alignment horizontal="center" vertical="center"/>
    </xf>
    <xf numFmtId="0" fontId="11" fillId="20" borderId="44" xfId="8" applyFont="1" applyFill="1" applyBorder="1" applyAlignment="1">
      <alignment horizontal="center" vertical="center"/>
    </xf>
    <xf numFmtId="0" fontId="163" fillId="0" borderId="1" xfId="8" applyFont="1" applyBorder="1" applyAlignment="1">
      <alignment horizontal="left" vertical="center"/>
    </xf>
    <xf numFmtId="0" fontId="11" fillId="20" borderId="2" xfId="8" applyFont="1" applyFill="1" applyBorder="1" applyAlignment="1">
      <alignment horizontal="center" vertical="center"/>
    </xf>
    <xf numFmtId="0" fontId="11" fillId="20" borderId="20" xfId="8" applyFont="1" applyFill="1" applyBorder="1" applyAlignment="1">
      <alignment horizontal="center" vertical="center"/>
    </xf>
    <xf numFmtId="0" fontId="11" fillId="20" borderId="17" xfId="8" applyFont="1" applyFill="1" applyBorder="1" applyAlignment="1">
      <alignment horizontal="center" vertical="center"/>
    </xf>
    <xf numFmtId="0" fontId="11" fillId="20" borderId="1" xfId="8" applyFont="1" applyFill="1" applyBorder="1" applyAlignment="1">
      <alignment horizontal="center" vertical="center"/>
    </xf>
    <xf numFmtId="0" fontId="11" fillId="20" borderId="4" xfId="8" applyFont="1" applyFill="1" applyBorder="1" applyAlignment="1">
      <alignment horizontal="center" vertical="center"/>
    </xf>
    <xf numFmtId="0" fontId="11" fillId="20" borderId="68" xfId="8" applyFont="1" applyFill="1" applyBorder="1" applyAlignment="1">
      <alignment horizontal="center" vertical="center"/>
    </xf>
    <xf numFmtId="0" fontId="11" fillId="20" borderId="41" xfId="8" applyFont="1" applyFill="1" applyBorder="1" applyAlignment="1">
      <alignment horizontal="center" vertical="center" wrapText="1"/>
    </xf>
    <xf numFmtId="0" fontId="11" fillId="20" borderId="44" xfId="8" applyFont="1" applyFill="1" applyBorder="1" applyAlignment="1">
      <alignment horizontal="center" vertical="center" wrapText="1"/>
    </xf>
    <xf numFmtId="0" fontId="82" fillId="0" borderId="60" xfId="8" applyFont="1" applyBorder="1" applyAlignment="1">
      <alignment horizontal="center" vertical="center"/>
    </xf>
    <xf numFmtId="0" fontId="82" fillId="0" borderId="37" xfId="8" applyFont="1" applyBorder="1" applyAlignment="1">
      <alignment horizontal="center" vertical="center"/>
    </xf>
    <xf numFmtId="0" fontId="82" fillId="0" borderId="47" xfId="8" applyFont="1" applyBorder="1" applyAlignment="1">
      <alignment horizontal="center" vertical="center"/>
    </xf>
    <xf numFmtId="0" fontId="82" fillId="0" borderId="38" xfId="8" applyFont="1" applyBorder="1" applyAlignment="1">
      <alignment horizontal="center" vertical="center"/>
    </xf>
    <xf numFmtId="0" fontId="11" fillId="0" borderId="93" xfId="8" applyFont="1" applyBorder="1" applyAlignment="1">
      <alignment horizontal="center" vertical="center"/>
    </xf>
    <xf numFmtId="0" fontId="11" fillId="0" borderId="13" xfId="8" applyFont="1" applyBorder="1" applyAlignment="1">
      <alignment horizontal="center" vertical="center"/>
    </xf>
    <xf numFmtId="0" fontId="24" fillId="0" borderId="39" xfId="8" applyFont="1" applyBorder="1" applyAlignment="1">
      <alignment horizontal="center" vertical="center"/>
    </xf>
    <xf numFmtId="0" fontId="24" fillId="0" borderId="77" xfId="8" applyFont="1" applyBorder="1" applyAlignment="1">
      <alignment horizontal="center" vertical="center"/>
    </xf>
    <xf numFmtId="0" fontId="82" fillId="0" borderId="39" xfId="8" applyFont="1" applyBorder="1" applyAlignment="1">
      <alignment horizontal="center" vertical="center"/>
    </xf>
    <xf numFmtId="0" fontId="82" fillId="0" borderId="64" xfId="8" applyFont="1" applyBorder="1" applyAlignment="1">
      <alignment horizontal="center" vertical="center"/>
    </xf>
    <xf numFmtId="0" fontId="82" fillId="0" borderId="26" xfId="8" applyFont="1" applyBorder="1" applyAlignment="1">
      <alignment horizontal="center" vertical="center"/>
    </xf>
    <xf numFmtId="0" fontId="82" fillId="0" borderId="32" xfId="8" applyFont="1" applyBorder="1" applyAlignment="1">
      <alignment horizontal="center" vertical="center"/>
    </xf>
    <xf numFmtId="0" fontId="11" fillId="0" borderId="56" xfId="8" applyFont="1" applyBorder="1" applyAlignment="1">
      <alignment horizontal="center" vertical="center"/>
    </xf>
    <xf numFmtId="0" fontId="11" fillId="0" borderId="34" xfId="8" applyFont="1" applyBorder="1" applyAlignment="1">
      <alignment horizontal="center" vertical="center"/>
    </xf>
    <xf numFmtId="0" fontId="11" fillId="0" borderId="51" xfId="8" applyFont="1" applyBorder="1" applyAlignment="1">
      <alignment horizontal="center" vertical="center"/>
    </xf>
    <xf numFmtId="0" fontId="11" fillId="0" borderId="96" xfId="8" applyFont="1" applyBorder="1" applyAlignment="1">
      <alignment horizontal="center" vertical="center"/>
    </xf>
    <xf numFmtId="0" fontId="24" fillId="28" borderId="3" xfId="8" applyFont="1" applyFill="1" applyBorder="1" applyAlignment="1">
      <alignment horizontal="center" vertical="center" textRotation="90"/>
    </xf>
    <xf numFmtId="0" fontId="24" fillId="28" borderId="6" xfId="8" applyFont="1" applyFill="1" applyBorder="1" applyAlignment="1">
      <alignment horizontal="center" vertical="center" textRotation="90"/>
    </xf>
    <xf numFmtId="0" fontId="24" fillId="28" borderId="18" xfId="8" applyFont="1" applyFill="1" applyBorder="1" applyAlignment="1">
      <alignment horizontal="center" vertical="center" textRotation="90"/>
    </xf>
    <xf numFmtId="0" fontId="24" fillId="0" borderId="60" xfId="8" applyFont="1" applyBorder="1" applyAlignment="1">
      <alignment horizontal="center" vertical="center"/>
    </xf>
    <xf numFmtId="0" fontId="24" fillId="0" borderId="37" xfId="8" applyFont="1" applyBorder="1" applyAlignment="1">
      <alignment horizontal="center" vertical="center"/>
    </xf>
    <xf numFmtId="0" fontId="24" fillId="0" borderId="96" xfId="8" applyFont="1" applyBorder="1" applyAlignment="1">
      <alignment horizontal="center" vertical="center"/>
    </xf>
    <xf numFmtId="0" fontId="24" fillId="0" borderId="0" xfId="8" applyFont="1" applyAlignment="1">
      <alignment horizontal="center" vertical="center"/>
    </xf>
    <xf numFmtId="0" fontId="24" fillId="0" borderId="79" xfId="8" applyFont="1" applyBorder="1" applyAlignment="1">
      <alignment horizontal="center" vertical="center"/>
    </xf>
    <xf numFmtId="0" fontId="24" fillId="0" borderId="72" xfId="8" applyFont="1" applyBorder="1" applyAlignment="1">
      <alignment horizontal="center" vertical="center"/>
    </xf>
    <xf numFmtId="0" fontId="11" fillId="0" borderId="50" xfId="8" applyFont="1" applyBorder="1" applyAlignment="1">
      <alignment horizontal="center" vertical="center"/>
    </xf>
    <xf numFmtId="0" fontId="11" fillId="0" borderId="95" xfId="8" applyFont="1" applyBorder="1" applyAlignment="1">
      <alignment horizontal="center" vertical="center"/>
    </xf>
    <xf numFmtId="0" fontId="82" fillId="0" borderId="69" xfId="8" applyFont="1" applyBorder="1" applyAlignment="1">
      <alignment horizontal="center" vertical="center"/>
    </xf>
    <xf numFmtId="0" fontId="36" fillId="0" borderId="0" xfId="8" applyFont="1" applyAlignment="1">
      <alignment horizontal="center"/>
    </xf>
    <xf numFmtId="0" fontId="160" fillId="0" borderId="1" xfId="8" applyFont="1" applyBorder="1" applyAlignment="1">
      <alignment horizontal="left" vertical="center"/>
    </xf>
    <xf numFmtId="0" fontId="24" fillId="20" borderId="3" xfId="8" applyFont="1" applyFill="1" applyBorder="1" applyAlignment="1">
      <alignment horizontal="center" vertical="center" textRotation="90"/>
    </xf>
    <xf numFmtId="0" fontId="24" fillId="20" borderId="18" xfId="8" applyFont="1" applyFill="1" applyBorder="1" applyAlignment="1">
      <alignment horizontal="center" vertical="center" textRotation="90"/>
    </xf>
    <xf numFmtId="0" fontId="24" fillId="20" borderId="70" xfId="8" applyFont="1" applyFill="1" applyBorder="1" applyAlignment="1">
      <alignment horizontal="center" vertical="center"/>
    </xf>
    <xf numFmtId="0" fontId="24" fillId="20" borderId="54" xfId="8" applyFont="1" applyFill="1" applyBorder="1" applyAlignment="1">
      <alignment horizontal="center" vertical="center"/>
    </xf>
    <xf numFmtId="0" fontId="11" fillId="20" borderId="62" xfId="8" applyFont="1" applyFill="1" applyBorder="1" applyAlignment="1">
      <alignment horizontal="center" vertical="center"/>
    </xf>
    <xf numFmtId="0" fontId="11" fillId="20" borderId="59" xfId="8" applyFont="1" applyFill="1" applyBorder="1" applyAlignment="1">
      <alignment horizontal="center" vertical="center"/>
    </xf>
    <xf numFmtId="0" fontId="11" fillId="20" borderId="42" xfId="4" applyFont="1" applyFill="1" applyBorder="1" applyAlignment="1">
      <alignment horizontal="center" vertical="center"/>
    </xf>
    <xf numFmtId="0" fontId="11" fillId="20" borderId="43" xfId="4" applyFont="1" applyFill="1" applyBorder="1" applyAlignment="1">
      <alignment horizontal="center" vertical="center"/>
    </xf>
    <xf numFmtId="0" fontId="11" fillId="20" borderId="44" xfId="4" applyFont="1" applyFill="1" applyBorder="1" applyAlignment="1">
      <alignment horizontal="center" vertical="center"/>
    </xf>
    <xf numFmtId="0" fontId="31" fillId="0" borderId="0" xfId="4" applyFont="1" applyAlignment="1">
      <alignment horizontal="center" vertical="center"/>
    </xf>
    <xf numFmtId="0" fontId="32" fillId="20" borderId="3" xfId="4" applyFont="1" applyFill="1" applyBorder="1" applyAlignment="1">
      <alignment horizontal="center" vertical="center" textRotation="90"/>
    </xf>
    <xf numFmtId="0" fontId="32" fillId="20" borderId="6" xfId="4" applyFont="1" applyFill="1" applyBorder="1" applyAlignment="1">
      <alignment horizontal="center" vertical="center" textRotation="90"/>
    </xf>
    <xf numFmtId="0" fontId="11" fillId="20" borderId="42" xfId="4" applyFont="1" applyFill="1" applyBorder="1" applyAlignment="1">
      <alignment horizontal="center" vertical="center" readingOrder="2"/>
    </xf>
    <xf numFmtId="0" fontId="11" fillId="20" borderId="44" xfId="4" applyFont="1" applyFill="1" applyBorder="1" applyAlignment="1">
      <alignment horizontal="center" vertical="center" readingOrder="2"/>
    </xf>
    <xf numFmtId="0" fontId="31" fillId="2" borderId="0" xfId="4" applyFont="1" applyFill="1" applyAlignment="1">
      <alignment horizontal="center" vertical="center"/>
    </xf>
    <xf numFmtId="0" fontId="31" fillId="2" borderId="1" xfId="4" applyFont="1" applyFill="1" applyBorder="1" applyAlignment="1">
      <alignment horizontal="center" vertical="center"/>
    </xf>
    <xf numFmtId="0" fontId="11" fillId="20" borderId="2" xfId="4" applyFont="1" applyFill="1" applyBorder="1" applyAlignment="1">
      <alignment horizontal="center" vertical="center"/>
    </xf>
    <xf numFmtId="0" fontId="11" fillId="20" borderId="4" xfId="4" applyFont="1" applyFill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32" fillId="20" borderId="3" xfId="4" applyFont="1" applyFill="1" applyBorder="1" applyAlignment="1">
      <alignment horizontal="center"/>
    </xf>
    <xf numFmtId="0" fontId="32" fillId="20" borderId="6" xfId="4" applyFont="1" applyFill="1" applyBorder="1" applyAlignment="1">
      <alignment horizontal="center"/>
    </xf>
    <xf numFmtId="0" fontId="24" fillId="20" borderId="41" xfId="4" applyFont="1" applyFill="1" applyBorder="1" applyAlignment="1">
      <alignment horizontal="center" vertical="center"/>
    </xf>
    <xf numFmtId="0" fontId="24" fillId="20" borderId="44" xfId="4" applyFont="1" applyFill="1" applyBorder="1" applyAlignment="1">
      <alignment horizontal="center" vertical="center"/>
    </xf>
    <xf numFmtId="0" fontId="11" fillId="0" borderId="134" xfId="8" applyFont="1" applyBorder="1" applyAlignment="1">
      <alignment horizontal="center" vertical="center"/>
    </xf>
    <xf numFmtId="0" fontId="11" fillId="0" borderId="92" xfId="8" applyFont="1" applyBorder="1" applyAlignment="1">
      <alignment horizontal="center" vertical="center"/>
    </xf>
    <xf numFmtId="0" fontId="11" fillId="0" borderId="26" xfId="8" applyFont="1" applyBorder="1" applyAlignment="1">
      <alignment horizontal="center" vertical="center"/>
    </xf>
    <xf numFmtId="0" fontId="11" fillId="0" borderId="130" xfId="8" applyFont="1" applyBorder="1" applyAlignment="1">
      <alignment horizontal="center" vertical="center"/>
    </xf>
    <xf numFmtId="0" fontId="11" fillId="0" borderId="141" xfId="8" applyFont="1" applyBorder="1" applyAlignment="1">
      <alignment horizontal="center" vertical="center"/>
    </xf>
    <xf numFmtId="0" fontId="11" fillId="0" borderId="142" xfId="8" applyFont="1" applyBorder="1" applyAlignment="1">
      <alignment horizontal="center" vertical="center"/>
    </xf>
    <xf numFmtId="0" fontId="12" fillId="0" borderId="0" xfId="8" applyFont="1" applyAlignment="1">
      <alignment horizontal="right" vertical="center"/>
    </xf>
    <xf numFmtId="0" fontId="35" fillId="0" borderId="0" xfId="8" applyFont="1" applyAlignment="1">
      <alignment horizontal="right" wrapText="1" readingOrder="2"/>
    </xf>
    <xf numFmtId="0" fontId="139" fillId="0" borderId="0" xfId="8" applyFont="1" applyAlignment="1">
      <alignment horizontal="center" vertical="center" wrapText="1" readingOrder="2"/>
    </xf>
    <xf numFmtId="0" fontId="24" fillId="20" borderId="35" xfId="118" applyFont="1" applyFill="1" applyBorder="1" applyAlignment="1">
      <alignment horizontal="center" vertical="center" wrapText="1"/>
    </xf>
    <xf numFmtId="0" fontId="24" fillId="20" borderId="48" xfId="118" applyFont="1" applyFill="1" applyBorder="1" applyAlignment="1">
      <alignment horizontal="center" vertical="center" wrapText="1"/>
    </xf>
    <xf numFmtId="0" fontId="24" fillId="20" borderId="36" xfId="118" applyFont="1" applyFill="1" applyBorder="1" applyAlignment="1">
      <alignment horizontal="center" vertical="center" wrapText="1"/>
    </xf>
    <xf numFmtId="0" fontId="11" fillId="0" borderId="133" xfId="8" applyFont="1" applyBorder="1" applyAlignment="1">
      <alignment horizontal="center" vertical="center"/>
    </xf>
    <xf numFmtId="0" fontId="11" fillId="0" borderId="49" xfId="8" applyFont="1" applyBorder="1" applyAlignment="1">
      <alignment horizontal="center" vertical="center"/>
    </xf>
    <xf numFmtId="0" fontId="11" fillId="0" borderId="38" xfId="8" applyFont="1" applyBorder="1" applyAlignment="1">
      <alignment horizontal="center" vertical="center"/>
    </xf>
    <xf numFmtId="3" fontId="137" fillId="0" borderId="27" xfId="8" applyNumberFormat="1" applyFont="1" applyBorder="1" applyAlignment="1">
      <alignment horizontal="center" vertical="center" wrapText="1" readingOrder="2"/>
    </xf>
    <xf numFmtId="3" fontId="137" fillId="0" borderId="92" xfId="8" applyNumberFormat="1" applyFont="1" applyBorder="1" applyAlignment="1">
      <alignment horizontal="center" vertical="center" wrapText="1" readingOrder="2"/>
    </xf>
    <xf numFmtId="3" fontId="137" fillId="0" borderId="93" xfId="8" applyNumberFormat="1" applyFont="1" applyBorder="1" applyAlignment="1">
      <alignment horizontal="center" vertical="center" wrapText="1" readingOrder="2"/>
    </xf>
    <xf numFmtId="3" fontId="137" fillId="0" borderId="138" xfId="8" applyNumberFormat="1" applyFont="1" applyBorder="1" applyAlignment="1">
      <alignment horizontal="center" vertical="center" wrapText="1" readingOrder="2"/>
    </xf>
    <xf numFmtId="3" fontId="137" fillId="0" borderId="53" xfId="8" applyNumberFormat="1" applyFont="1" applyBorder="1" applyAlignment="1">
      <alignment horizontal="center" vertical="center" wrapText="1" readingOrder="2"/>
    </xf>
    <xf numFmtId="3" fontId="137" fillId="0" borderId="28" xfId="8" applyNumberFormat="1" applyFont="1" applyBorder="1" applyAlignment="1">
      <alignment horizontal="center" vertical="center" wrapText="1" readingOrder="2"/>
    </xf>
    <xf numFmtId="3" fontId="137" fillId="0" borderId="56" xfId="8" applyNumberFormat="1" applyFont="1" applyBorder="1" applyAlignment="1">
      <alignment horizontal="center" vertical="center" wrapText="1" readingOrder="2"/>
    </xf>
    <xf numFmtId="3" fontId="137" fillId="0" borderId="139" xfId="8" applyNumberFormat="1" applyFont="1" applyBorder="1" applyAlignment="1">
      <alignment horizontal="center" vertical="center" wrapText="1" readingOrder="2"/>
    </xf>
    <xf numFmtId="0" fontId="35" fillId="20" borderId="254" xfId="8" applyFont="1" applyFill="1" applyBorder="1" applyAlignment="1">
      <alignment horizontal="center" wrapText="1" readingOrder="2"/>
    </xf>
    <xf numFmtId="0" fontId="35" fillId="20" borderId="255" xfId="8" applyFont="1" applyFill="1" applyBorder="1" applyAlignment="1">
      <alignment horizontal="center" wrapText="1" readingOrder="2"/>
    </xf>
    <xf numFmtId="3" fontId="25" fillId="20" borderId="113" xfId="8" applyNumberFormat="1" applyFont="1" applyFill="1" applyBorder="1" applyAlignment="1">
      <alignment horizontal="center" vertical="center"/>
    </xf>
    <xf numFmtId="3" fontId="25" fillId="20" borderId="114" xfId="8" applyNumberFormat="1" applyFont="1" applyFill="1" applyBorder="1" applyAlignment="1">
      <alignment horizontal="center" vertical="center"/>
    </xf>
    <xf numFmtId="3" fontId="25" fillId="20" borderId="120" xfId="8" applyNumberFormat="1" applyFont="1" applyFill="1" applyBorder="1" applyAlignment="1">
      <alignment horizontal="center" vertical="center"/>
    </xf>
    <xf numFmtId="0" fontId="139" fillId="2" borderId="0" xfId="8" applyFont="1" applyFill="1" applyAlignment="1">
      <alignment horizontal="center" vertical="center" readingOrder="2"/>
    </xf>
    <xf numFmtId="0" fontId="16" fillId="20" borderId="113" xfId="8" applyFont="1" applyFill="1" applyBorder="1" applyAlignment="1">
      <alignment horizontal="center" vertical="center" wrapText="1" readingOrder="2"/>
    </xf>
    <xf numFmtId="0" fontId="16" fillId="20" borderId="114" xfId="8" applyFont="1" applyFill="1" applyBorder="1" applyAlignment="1">
      <alignment horizontal="center" vertical="center" wrapText="1" readingOrder="2"/>
    </xf>
    <xf numFmtId="0" fontId="16" fillId="20" borderId="120" xfId="8" applyFont="1" applyFill="1" applyBorder="1" applyAlignment="1">
      <alignment horizontal="center" vertical="center" wrapText="1" readingOrder="2"/>
    </xf>
    <xf numFmtId="3" fontId="137" fillId="0" borderId="72" xfId="8" applyNumberFormat="1" applyFont="1" applyBorder="1" applyAlignment="1">
      <alignment horizontal="center" vertical="center" wrapText="1" readingOrder="2"/>
    </xf>
    <xf numFmtId="3" fontId="137" fillId="0" borderId="49" xfId="8" applyNumberFormat="1" applyFont="1" applyBorder="1" applyAlignment="1">
      <alignment horizontal="center" vertical="center" wrapText="1" readingOrder="2"/>
    </xf>
    <xf numFmtId="3" fontId="137" fillId="0" borderId="50" xfId="8" applyNumberFormat="1" applyFont="1" applyBorder="1" applyAlignment="1">
      <alignment horizontal="center" vertical="center" wrapText="1" readingOrder="2"/>
    </xf>
    <xf numFmtId="3" fontId="137" fillId="0" borderId="137" xfId="8" applyNumberFormat="1" applyFont="1" applyBorder="1" applyAlignment="1">
      <alignment horizontal="center" vertical="center" wrapText="1" readingOrder="2"/>
    </xf>
    <xf numFmtId="0" fontId="139" fillId="0" borderId="0" xfId="8" applyFont="1" applyAlignment="1">
      <alignment horizontal="center" vertical="center" readingOrder="2"/>
    </xf>
    <xf numFmtId="3" fontId="18" fillId="20" borderId="42" xfId="113" applyNumberFormat="1" applyFont="1" applyFill="1" applyBorder="1" applyAlignment="1">
      <alignment horizontal="center" vertical="center" readingOrder="2"/>
    </xf>
    <xf numFmtId="3" fontId="18" fillId="20" borderId="44" xfId="113" applyNumberFormat="1" applyFont="1" applyFill="1" applyBorder="1" applyAlignment="1">
      <alignment horizontal="center" vertical="center" readingOrder="2"/>
    </xf>
    <xf numFmtId="186" fontId="18" fillId="20" borderId="35" xfId="113" applyNumberFormat="1" applyFont="1" applyFill="1" applyBorder="1" applyAlignment="1">
      <alignment horizontal="center" vertical="center" readingOrder="2"/>
    </xf>
    <xf numFmtId="186" fontId="18" fillId="20" borderId="48" xfId="113" applyNumberFormat="1" applyFont="1" applyFill="1" applyBorder="1" applyAlignment="1">
      <alignment horizontal="center" vertical="center" readingOrder="2"/>
    </xf>
    <xf numFmtId="0" fontId="26" fillId="0" borderId="124" xfId="8" applyFont="1" applyBorder="1" applyAlignment="1">
      <alignment horizontal="right" vertical="center" wrapText="1" readingOrder="2"/>
    </xf>
    <xf numFmtId="3" fontId="16" fillId="20" borderId="136" xfId="113" applyNumberFormat="1" applyFont="1" applyFill="1" applyBorder="1" applyAlignment="1">
      <alignment horizontal="center" vertical="center" readingOrder="2"/>
    </xf>
    <xf numFmtId="3" fontId="16" fillId="20" borderId="114" xfId="113" applyNumberFormat="1" applyFont="1" applyFill="1" applyBorder="1" applyAlignment="1">
      <alignment horizontal="center" vertical="center" readingOrder="2"/>
    </xf>
    <xf numFmtId="0" fontId="26" fillId="0" borderId="0" xfId="8" applyFont="1" applyAlignment="1">
      <alignment horizontal="right" vertical="center" wrapText="1" readingOrder="2"/>
    </xf>
    <xf numFmtId="0" fontId="140" fillId="0" borderId="0" xfId="113" applyFont="1" applyAlignment="1">
      <alignment horizontal="center" vertical="center"/>
    </xf>
    <xf numFmtId="3" fontId="140" fillId="20" borderId="254" xfId="113" applyNumberFormat="1" applyFont="1" applyFill="1" applyBorder="1" applyAlignment="1">
      <alignment horizontal="center" vertical="center" readingOrder="2"/>
    </xf>
    <xf numFmtId="3" fontId="140" fillId="20" borderId="255" xfId="113" applyNumberFormat="1" applyFont="1" applyFill="1" applyBorder="1" applyAlignment="1">
      <alignment horizontal="center" vertical="center" readingOrder="2"/>
    </xf>
    <xf numFmtId="3" fontId="18" fillId="3" borderId="42" xfId="113" applyNumberFormat="1" applyFont="1" applyFill="1" applyBorder="1" applyAlignment="1">
      <alignment horizontal="center" vertical="center" readingOrder="2"/>
    </xf>
    <xf numFmtId="3" fontId="18" fillId="3" borderId="44" xfId="113" applyNumberFormat="1" applyFont="1" applyFill="1" applyBorder="1" applyAlignment="1">
      <alignment horizontal="center" vertical="center" readingOrder="2"/>
    </xf>
    <xf numFmtId="3" fontId="16" fillId="20" borderId="14" xfId="113" applyNumberFormat="1" applyFont="1" applyFill="1" applyBorder="1" applyAlignment="1">
      <alignment horizontal="center" vertical="center" readingOrder="2"/>
    </xf>
    <xf numFmtId="3" fontId="16" fillId="20" borderId="91" xfId="113" applyNumberFormat="1" applyFont="1" applyFill="1" applyBorder="1" applyAlignment="1">
      <alignment horizontal="center" vertical="center" readingOrder="2"/>
    </xf>
    <xf numFmtId="0" fontId="26" fillId="0" borderId="0" xfId="8" applyFont="1" applyAlignment="1">
      <alignment horizontal="right" wrapText="1" readingOrder="2"/>
    </xf>
    <xf numFmtId="3" fontId="140" fillId="20" borderId="17" xfId="113" applyNumberFormat="1" applyFont="1" applyFill="1" applyBorder="1" applyAlignment="1">
      <alignment horizontal="center" vertical="center" readingOrder="2"/>
    </xf>
    <xf numFmtId="3" fontId="140" fillId="20" borderId="54" xfId="113" applyNumberFormat="1" applyFont="1" applyFill="1" applyBorder="1" applyAlignment="1">
      <alignment horizontal="center" vertical="center" readingOrder="2"/>
    </xf>
    <xf numFmtId="0" fontId="153" fillId="20" borderId="21" xfId="125" applyFont="1" applyFill="1" applyBorder="1" applyAlignment="1">
      <alignment horizontal="center" vertical="center" wrapText="1" readingOrder="2"/>
    </xf>
    <xf numFmtId="0" fontId="153" fillId="20" borderId="22" xfId="125" applyFont="1" applyFill="1" applyBorder="1" applyAlignment="1">
      <alignment horizontal="center" vertical="center" wrapText="1" readingOrder="2"/>
    </xf>
    <xf numFmtId="0" fontId="153" fillId="20" borderId="30" xfId="125" applyFont="1" applyFill="1" applyBorder="1" applyAlignment="1">
      <alignment horizontal="center" vertical="center" wrapText="1" readingOrder="2"/>
    </xf>
    <xf numFmtId="0" fontId="153" fillId="20" borderId="31" xfId="125" applyFont="1" applyFill="1" applyBorder="1" applyAlignment="1">
      <alignment horizontal="center" vertical="center" wrapText="1" readingOrder="2"/>
    </xf>
    <xf numFmtId="0" fontId="156" fillId="20" borderId="22" xfId="125" applyFont="1" applyFill="1" applyBorder="1" applyAlignment="1">
      <alignment horizontal="center" vertical="center" wrapText="1" readingOrder="2"/>
    </xf>
    <xf numFmtId="0" fontId="156" fillId="20" borderId="23" xfId="125" applyFont="1" applyFill="1" applyBorder="1" applyAlignment="1">
      <alignment horizontal="center" vertical="center" wrapText="1" readingOrder="2"/>
    </xf>
    <xf numFmtId="0" fontId="156" fillId="20" borderId="31" xfId="125" applyFont="1" applyFill="1" applyBorder="1" applyAlignment="1">
      <alignment horizontal="center" vertical="center" wrapText="1" readingOrder="2"/>
    </xf>
    <xf numFmtId="0" fontId="156" fillId="20" borderId="32" xfId="125" applyFont="1" applyFill="1" applyBorder="1" applyAlignment="1">
      <alignment horizontal="center" vertical="center" wrapText="1" readingOrder="2"/>
    </xf>
    <xf numFmtId="0" fontId="153" fillId="28" borderId="12" xfId="125" applyFont="1" applyFill="1" applyBorder="1" applyAlignment="1">
      <alignment horizontal="center" vertical="center" wrapText="1" readingOrder="2"/>
    </xf>
    <xf numFmtId="0" fontId="132" fillId="0" borderId="27" xfId="125" applyFont="1" applyBorder="1" applyAlignment="1">
      <alignment horizontal="center" vertical="center" wrapText="1" readingOrder="2"/>
    </xf>
    <xf numFmtId="0" fontId="33" fillId="2" borderId="92" xfId="125" applyFont="1" applyFill="1" applyBorder="1" applyAlignment="1">
      <alignment horizontal="center" vertical="center" wrapText="1" readingOrder="2"/>
    </xf>
    <xf numFmtId="0" fontId="155" fillId="2" borderId="26" xfId="125" applyFont="1" applyFill="1" applyBorder="1" applyAlignment="1">
      <alignment horizontal="center" vertical="center" wrapText="1" readingOrder="2"/>
    </xf>
    <xf numFmtId="0" fontId="153" fillId="28" borderId="15" xfId="125" applyFont="1" applyFill="1" applyBorder="1" applyAlignment="1">
      <alignment horizontal="center" vertical="center" wrapText="1" readingOrder="2"/>
    </xf>
    <xf numFmtId="0" fontId="132" fillId="0" borderId="91" xfId="125" applyFont="1" applyBorder="1" applyAlignment="1">
      <alignment horizontal="center" vertical="center" wrapText="1" readingOrder="2"/>
    </xf>
    <xf numFmtId="0" fontId="33" fillId="2" borderId="31" xfId="125" applyFont="1" applyFill="1" applyBorder="1" applyAlignment="1">
      <alignment horizontal="center" vertical="center" wrapText="1" readingOrder="2"/>
    </xf>
    <xf numFmtId="0" fontId="155" fillId="2" borderId="40" xfId="125" applyFont="1" applyFill="1" applyBorder="1" applyAlignment="1">
      <alignment horizontal="center" vertical="center" wrapText="1" readingOrder="2"/>
    </xf>
    <xf numFmtId="0" fontId="155" fillId="2" borderId="57" xfId="125" applyFont="1" applyFill="1" applyBorder="1" applyAlignment="1">
      <alignment horizontal="center" vertical="center" wrapText="1" readingOrder="2"/>
    </xf>
    <xf numFmtId="0" fontId="33" fillId="2" borderId="93" xfId="125" applyFont="1" applyFill="1" applyBorder="1" applyAlignment="1">
      <alignment horizontal="center" vertical="center" wrapText="1" readingOrder="2"/>
    </xf>
    <xf numFmtId="0" fontId="33" fillId="2" borderId="92" xfId="125" quotePrefix="1" applyFont="1" applyFill="1" applyBorder="1" applyAlignment="1">
      <alignment horizontal="center" vertical="center" wrapText="1" readingOrder="2"/>
    </xf>
    <xf numFmtId="0" fontId="155" fillId="0" borderId="26" xfId="125" applyFont="1" applyBorder="1" applyAlignment="1">
      <alignment horizontal="center" vertical="center" wrapText="1" readingOrder="2"/>
    </xf>
    <xf numFmtId="0" fontId="22" fillId="0" borderId="0" xfId="125" applyFont="1" applyAlignment="1">
      <alignment horizontal="center" vertical="center"/>
    </xf>
    <xf numFmtId="0" fontId="153" fillId="28" borderId="3" xfId="125" applyFont="1" applyFill="1" applyBorder="1" applyAlignment="1">
      <alignment horizontal="center" vertical="center" wrapText="1" readingOrder="2"/>
    </xf>
    <xf numFmtId="0" fontId="153" fillId="28" borderId="6" xfId="125" applyFont="1" applyFill="1" applyBorder="1" applyAlignment="1">
      <alignment horizontal="center" vertical="center" wrapText="1" readingOrder="2"/>
    </xf>
    <xf numFmtId="0" fontId="153" fillId="28" borderId="76" xfId="125" applyFont="1" applyFill="1" applyBorder="1" applyAlignment="1">
      <alignment horizontal="center" vertical="center" wrapText="1" readingOrder="2"/>
    </xf>
    <xf numFmtId="0" fontId="132" fillId="0" borderId="70" xfId="125" applyFont="1" applyBorder="1" applyAlignment="1">
      <alignment horizontal="center" vertical="center" wrapText="1" readingOrder="2"/>
    </xf>
    <xf numFmtId="0" fontId="132" fillId="0" borderId="79" xfId="125" applyFont="1" applyBorder="1" applyAlignment="1">
      <alignment horizontal="center" vertical="center" wrapText="1" readingOrder="2"/>
    </xf>
    <xf numFmtId="0" fontId="132" fillId="0" borderId="72" xfId="125" applyFont="1" applyBorder="1" applyAlignment="1">
      <alignment horizontal="center" vertical="center" wrapText="1" readingOrder="2"/>
    </xf>
    <xf numFmtId="0" fontId="33" fillId="2" borderId="22" xfId="125" applyFont="1" applyFill="1" applyBorder="1" applyAlignment="1">
      <alignment horizontal="center" vertical="center" wrapText="1" readingOrder="2"/>
    </xf>
    <xf numFmtId="0" fontId="155" fillId="0" borderId="23" xfId="125" applyFont="1" applyBorder="1" applyAlignment="1">
      <alignment horizontal="center" vertical="center" wrapText="1" readingOrder="2"/>
    </xf>
    <xf numFmtId="0" fontId="155" fillId="2" borderId="38" xfId="125" applyFont="1" applyFill="1" applyBorder="1" applyAlignment="1">
      <alignment horizontal="center" vertical="center" wrapText="1" readingOrder="2"/>
    </xf>
    <xf numFmtId="0" fontId="31" fillId="0" borderId="0" xfId="8" applyFont="1" applyAlignment="1">
      <alignment horizontal="center" vertical="center" readingOrder="2"/>
    </xf>
    <xf numFmtId="0" fontId="16" fillId="20" borderId="30" xfId="8" applyFont="1" applyFill="1" applyBorder="1" applyAlignment="1">
      <alignment horizontal="center" vertical="center" readingOrder="2"/>
    </xf>
    <xf numFmtId="0" fontId="16" fillId="20" borderId="32" xfId="8" applyFont="1" applyFill="1" applyBorder="1" applyAlignment="1">
      <alignment horizontal="center" vertical="center" readingOrder="2"/>
    </xf>
    <xf numFmtId="0" fontId="164" fillId="0" borderId="0" xfId="128" applyFont="1" applyAlignment="1">
      <alignment horizontal="center" vertical="center"/>
    </xf>
    <xf numFmtId="3" fontId="165" fillId="24" borderId="42" xfId="128" applyNumberFormat="1" applyFont="1" applyFill="1" applyBorder="1" applyAlignment="1">
      <alignment horizontal="center" vertical="center" wrapText="1"/>
    </xf>
    <xf numFmtId="3" fontId="165" fillId="24" borderId="44" xfId="128" applyNumberFormat="1" applyFont="1" applyFill="1" applyBorder="1" applyAlignment="1">
      <alignment horizontal="center" vertical="center" wrapText="1"/>
    </xf>
    <xf numFmtId="0" fontId="49" fillId="2" borderId="43" xfId="23" applyFont="1" applyFill="1" applyBorder="1" applyAlignment="1">
      <alignment horizontal="right" vertical="center"/>
    </xf>
    <xf numFmtId="0" fontId="49" fillId="2" borderId="44" xfId="23" applyFont="1" applyFill="1" applyBorder="1" applyAlignment="1">
      <alignment horizontal="right" vertical="center"/>
    </xf>
    <xf numFmtId="0" fontId="198" fillId="20" borderId="42" xfId="23" applyFont="1" applyFill="1" applyBorder="1" applyAlignment="1">
      <alignment horizontal="center" vertical="center" wrapText="1" readingOrder="2"/>
    </xf>
    <xf numFmtId="0" fontId="198" fillId="20" borderId="43" xfId="23" applyFont="1" applyFill="1" applyBorder="1" applyAlignment="1">
      <alignment horizontal="center" vertical="center" wrapText="1" readingOrder="2"/>
    </xf>
    <xf numFmtId="0" fontId="198" fillId="20" borderId="248" xfId="23" applyFont="1" applyFill="1" applyBorder="1" applyAlignment="1">
      <alignment horizontal="center" vertical="center" wrapText="1" readingOrder="2"/>
    </xf>
    <xf numFmtId="0" fontId="6" fillId="20" borderId="68" xfId="23" applyFill="1" applyBorder="1" applyAlignment="1">
      <alignment horizontal="center"/>
    </xf>
    <xf numFmtId="0" fontId="6" fillId="20" borderId="48" xfId="23" applyFill="1" applyBorder="1" applyAlignment="1">
      <alignment horizontal="center"/>
    </xf>
    <xf numFmtId="0" fontId="6" fillId="20" borderId="36" xfId="23" applyFill="1" applyBorder="1" applyAlignment="1">
      <alignment horizontal="center"/>
    </xf>
    <xf numFmtId="0" fontId="49" fillId="2" borderId="68" xfId="23" applyFont="1" applyFill="1" applyBorder="1" applyAlignment="1">
      <alignment horizontal="right" vertical="center"/>
    </xf>
    <xf numFmtId="0" fontId="49" fillId="2" borderId="48" xfId="23" applyFont="1" applyFill="1" applyBorder="1" applyAlignment="1">
      <alignment horizontal="right" vertical="center"/>
    </xf>
    <xf numFmtId="0" fontId="49" fillId="2" borderId="36" xfId="23" applyFont="1" applyFill="1" applyBorder="1" applyAlignment="1">
      <alignment horizontal="right" vertical="center"/>
    </xf>
    <xf numFmtId="0" fontId="189" fillId="20" borderId="42" xfId="23" applyFont="1" applyFill="1" applyBorder="1" applyAlignment="1">
      <alignment horizontal="center" vertical="center"/>
    </xf>
    <xf numFmtId="0" fontId="189" fillId="20" borderId="43" xfId="23" applyFont="1" applyFill="1" applyBorder="1" applyAlignment="1">
      <alignment horizontal="center" vertical="center"/>
    </xf>
    <xf numFmtId="0" fontId="189" fillId="20" borderId="44" xfId="23" applyFont="1" applyFill="1" applyBorder="1" applyAlignment="1">
      <alignment horizontal="center" vertical="center"/>
    </xf>
    <xf numFmtId="0" fontId="189" fillId="20" borderId="3" xfId="23" applyFont="1" applyFill="1" applyBorder="1" applyAlignment="1">
      <alignment horizontal="center" vertical="center" textRotation="90" wrapText="1" readingOrder="2"/>
    </xf>
    <xf numFmtId="0" fontId="189" fillId="20" borderId="6" xfId="23" applyFont="1" applyFill="1" applyBorder="1" applyAlignment="1">
      <alignment horizontal="center" vertical="center" textRotation="90" wrapText="1" readingOrder="2"/>
    </xf>
    <xf numFmtId="0" fontId="189" fillId="20" borderId="18" xfId="23" applyFont="1" applyFill="1" applyBorder="1" applyAlignment="1">
      <alignment horizontal="center" vertical="center" textRotation="90" wrapText="1" readingOrder="2"/>
    </xf>
    <xf numFmtId="0" fontId="189" fillId="20" borderId="233" xfId="23" applyFont="1" applyFill="1" applyBorder="1" applyAlignment="1">
      <alignment horizontal="center" vertical="center" wrapText="1" readingOrder="2"/>
    </xf>
    <xf numFmtId="0" fontId="189" fillId="20" borderId="0" xfId="23" applyFont="1" applyFill="1" applyAlignment="1">
      <alignment horizontal="center" vertical="center" wrapText="1" readingOrder="2"/>
    </xf>
    <xf numFmtId="0" fontId="189" fillId="20" borderId="1" xfId="23" applyFont="1" applyFill="1" applyBorder="1" applyAlignment="1">
      <alignment horizontal="center" vertical="center" wrapText="1" readingOrder="2"/>
    </xf>
    <xf numFmtId="0" fontId="195" fillId="20" borderId="234" xfId="23" applyFont="1" applyFill="1" applyBorder="1" applyAlignment="1">
      <alignment horizontal="center" vertical="center" wrapText="1" readingOrder="2"/>
    </xf>
    <xf numFmtId="0" fontId="195" fillId="20" borderId="20" xfId="23" applyFont="1" applyFill="1" applyBorder="1" applyAlignment="1">
      <alignment horizontal="center" vertical="center" wrapText="1" readingOrder="2"/>
    </xf>
    <xf numFmtId="0" fontId="189" fillId="20" borderId="235" xfId="23" applyFont="1" applyFill="1" applyBorder="1" applyAlignment="1">
      <alignment horizontal="center" vertical="center" wrapText="1" readingOrder="2"/>
    </xf>
    <xf numFmtId="0" fontId="189" fillId="20" borderId="240" xfId="23" applyFont="1" applyFill="1" applyBorder="1" applyAlignment="1">
      <alignment horizontal="center" vertical="center" wrapText="1" readingOrder="2"/>
    </xf>
    <xf numFmtId="0" fontId="189" fillId="20" borderId="243" xfId="23" applyFont="1" applyFill="1" applyBorder="1" applyAlignment="1">
      <alignment horizontal="center" vertical="center" wrapText="1" readingOrder="2"/>
    </xf>
    <xf numFmtId="0" fontId="189" fillId="20" borderId="91" xfId="23" applyFont="1" applyFill="1" applyBorder="1" applyAlignment="1">
      <alignment horizontal="center" vertical="center" wrapText="1" readingOrder="2"/>
    </xf>
    <xf numFmtId="0" fontId="189" fillId="20" borderId="31" xfId="23" applyFont="1" applyFill="1" applyBorder="1" applyAlignment="1">
      <alignment horizontal="center" vertical="center" wrapText="1" readingOrder="2"/>
    </xf>
    <xf numFmtId="0" fontId="189" fillId="20" borderId="32" xfId="23" applyFont="1" applyFill="1" applyBorder="1" applyAlignment="1">
      <alignment horizontal="center" vertical="center" wrapText="1" readingOrder="2"/>
    </xf>
    <xf numFmtId="0" fontId="49" fillId="20" borderId="236" xfId="23" applyFont="1" applyFill="1" applyBorder="1" applyAlignment="1">
      <alignment horizontal="center" vertical="center" textRotation="90" wrapText="1" readingOrder="2"/>
    </xf>
    <xf numFmtId="0" fontId="49" fillId="20" borderId="241" xfId="23" applyFont="1" applyFill="1" applyBorder="1" applyAlignment="1">
      <alignment horizontal="center" vertical="center" textRotation="90" wrapText="1" readingOrder="2"/>
    </xf>
    <xf numFmtId="0" fontId="49" fillId="20" borderId="237" xfId="23" applyFont="1" applyFill="1" applyBorder="1" applyAlignment="1">
      <alignment horizontal="center" vertical="center" textRotation="90" wrapText="1" readingOrder="2"/>
    </xf>
    <xf numFmtId="0" fontId="49" fillId="20" borderId="1" xfId="23" applyFont="1" applyFill="1" applyBorder="1" applyAlignment="1">
      <alignment horizontal="center" vertical="center" textRotation="90" wrapText="1" readingOrder="2"/>
    </xf>
    <xf numFmtId="0" fontId="196" fillId="20" borderId="238" xfId="23" applyFont="1" applyFill="1" applyBorder="1" applyAlignment="1">
      <alignment horizontal="center" vertical="top" textRotation="90" wrapText="1" readingOrder="2"/>
    </xf>
    <xf numFmtId="0" fontId="196" fillId="20" borderId="58" xfId="23" applyFont="1" applyFill="1" applyBorder="1" applyAlignment="1">
      <alignment horizontal="center" vertical="top" textRotation="90" wrapText="1" readingOrder="2"/>
    </xf>
    <xf numFmtId="0" fontId="196" fillId="20" borderId="239" xfId="23" applyFont="1" applyFill="1" applyBorder="1" applyAlignment="1">
      <alignment horizontal="center" vertical="center" textRotation="90" wrapText="1" readingOrder="2"/>
    </xf>
    <xf numFmtId="0" fontId="196" fillId="20" borderId="242" xfId="23" applyFont="1" applyFill="1" applyBorder="1" applyAlignment="1">
      <alignment horizontal="center" vertical="center" textRotation="90" wrapText="1" readingOrder="2"/>
    </xf>
    <xf numFmtId="0" fontId="49" fillId="2" borderId="247" xfId="23" applyFont="1" applyFill="1" applyBorder="1" applyAlignment="1">
      <alignment horizontal="right" vertical="center" wrapText="1"/>
    </xf>
    <xf numFmtId="0" fontId="49" fillId="2" borderId="43" xfId="23" applyFont="1" applyFill="1" applyBorder="1" applyAlignment="1">
      <alignment horizontal="right" vertical="center" wrapText="1"/>
    </xf>
    <xf numFmtId="0" fontId="49" fillId="2" borderId="44" xfId="23" applyFont="1" applyFill="1" applyBorder="1" applyAlignment="1">
      <alignment horizontal="right" vertical="center" wrapText="1"/>
    </xf>
    <xf numFmtId="0" fontId="49" fillId="2" borderId="68" xfId="23" applyFont="1" applyFill="1" applyBorder="1" applyAlignment="1">
      <alignment horizontal="right" vertical="center" wrapText="1"/>
    </xf>
    <xf numFmtId="0" fontId="49" fillId="2" borderId="48" xfId="23" applyFont="1" applyFill="1" applyBorder="1" applyAlignment="1">
      <alignment horizontal="right" vertical="center" wrapText="1"/>
    </xf>
    <xf numFmtId="0" fontId="49" fillId="2" borderId="36" xfId="23" applyFont="1" applyFill="1" applyBorder="1" applyAlignment="1">
      <alignment horizontal="right" vertical="center" wrapText="1"/>
    </xf>
  </cellXfs>
  <cellStyles count="252">
    <cellStyle name="Comma 2" xfId="155" xr:uid="{00000000-0005-0000-0000-000000000000}"/>
    <cellStyle name="Comma 3" xfId="154" xr:uid="{00000000-0005-0000-0000-000001000000}"/>
    <cellStyle name="Comma 3 4" xfId="17" xr:uid="{00000000-0005-0000-0000-000002000000}"/>
    <cellStyle name="Comma 3 6" xfId="121" xr:uid="{00000000-0005-0000-0000-000003000000}"/>
    <cellStyle name="Comma 4" xfId="111" xr:uid="{00000000-0005-0000-0000-000004000000}"/>
    <cellStyle name="Comma 5 2" xfId="124" xr:uid="{00000000-0005-0000-0000-000005000000}"/>
    <cellStyle name="Comma 5 2 2" xfId="156" xr:uid="{00000000-0005-0000-0000-000006000000}"/>
    <cellStyle name="Comma 5 2 3" xfId="144" xr:uid="{00000000-0005-0000-0000-000007000000}"/>
    <cellStyle name="Currency 2" xfId="9" xr:uid="{00000000-0005-0000-0000-000008000000}"/>
    <cellStyle name="Hyperlink" xfId="140" builtinId="8"/>
    <cellStyle name="Normal" xfId="0" builtinId="0"/>
    <cellStyle name="Normal 10" xfId="25" xr:uid="{00000000-0005-0000-0000-00000B000000}"/>
    <cellStyle name="Normal 10 2 2" xfId="23" xr:uid="{00000000-0005-0000-0000-00000C000000}"/>
    <cellStyle name="Normal 10 2 2 2" xfId="112" xr:uid="{00000000-0005-0000-0000-00000D000000}"/>
    <cellStyle name="Normal 10 2 2 3" xfId="158" xr:uid="{00000000-0005-0000-0000-00000E000000}"/>
    <cellStyle name="Normal 10 2 4" xfId="33" xr:uid="{00000000-0005-0000-0000-00000F000000}"/>
    <cellStyle name="Normal 10 2 5" xfId="138" xr:uid="{00000000-0005-0000-0000-000010000000}"/>
    <cellStyle name="Normal 100" xfId="109" xr:uid="{00000000-0005-0000-0000-000011000000}"/>
    <cellStyle name="Normal 100 2" xfId="203" xr:uid="{00000000-0005-0000-0000-000012000000}"/>
    <cellStyle name="Normal 100 3" xfId="251" xr:uid="{00000000-0005-0000-0000-000013000000}"/>
    <cellStyle name="Normal 102 2" xfId="126" xr:uid="{00000000-0005-0000-0000-000014000000}"/>
    <cellStyle name="Normal 103 2" xfId="26" xr:uid="{00000000-0005-0000-0000-000015000000}"/>
    <cellStyle name="Normal 105 2" xfId="122" xr:uid="{00000000-0005-0000-0000-000016000000}"/>
    <cellStyle name="Normal 105 2 2" xfId="123" xr:uid="{00000000-0005-0000-0000-000017000000}"/>
    <cellStyle name="Normal 105 2 2 2" xfId="145" xr:uid="{00000000-0005-0000-0000-000018000000}"/>
    <cellStyle name="Normal 105 2 3" xfId="143" xr:uid="{00000000-0005-0000-0000-000019000000}"/>
    <cellStyle name="Normal 106" xfId="116" xr:uid="{00000000-0005-0000-0000-00001A000000}"/>
    <cellStyle name="Normal 107" xfId="134" xr:uid="{00000000-0005-0000-0000-00001B000000}"/>
    <cellStyle name="Normal 109" xfId="142" xr:uid="{00000000-0005-0000-0000-00001C000000}"/>
    <cellStyle name="Normal 11" xfId="141" xr:uid="{00000000-0005-0000-0000-00001D000000}"/>
    <cellStyle name="Normal 11 2" xfId="22" xr:uid="{00000000-0005-0000-0000-00001E000000}"/>
    <cellStyle name="Normal 12" xfId="31" xr:uid="{00000000-0005-0000-0000-00001F000000}"/>
    <cellStyle name="Normal 12 3" xfId="113" xr:uid="{00000000-0005-0000-0000-000020000000}"/>
    <cellStyle name="Normal 13" xfId="34" xr:uid="{00000000-0005-0000-0000-000021000000}"/>
    <cellStyle name="Normal 13 3" xfId="120" xr:uid="{00000000-0005-0000-0000-000022000000}"/>
    <cellStyle name="Normal 14" xfId="36" xr:uid="{00000000-0005-0000-0000-000023000000}"/>
    <cellStyle name="Normal 15" xfId="37" xr:uid="{00000000-0005-0000-0000-000024000000}"/>
    <cellStyle name="Normal 16" xfId="35" xr:uid="{00000000-0005-0000-0000-000025000000}"/>
    <cellStyle name="Normal 17" xfId="39" xr:uid="{00000000-0005-0000-0000-000026000000}"/>
    <cellStyle name="Normal 18" xfId="40" xr:uid="{00000000-0005-0000-0000-000027000000}"/>
    <cellStyle name="Normal 19" xfId="38" xr:uid="{00000000-0005-0000-0000-000028000000}"/>
    <cellStyle name="Normal 2" xfId="1" xr:uid="{00000000-0005-0000-0000-000029000000}"/>
    <cellStyle name="Normal 2 10" xfId="8" xr:uid="{00000000-0005-0000-0000-00002A000000}"/>
    <cellStyle name="Normal 2 11" xfId="127" xr:uid="{00000000-0005-0000-0000-00002B000000}"/>
    <cellStyle name="Normal 2 2" xfId="4" xr:uid="{00000000-0005-0000-0000-00002C000000}"/>
    <cellStyle name="Normal 2 2 2" xfId="110" xr:uid="{00000000-0005-0000-0000-00002D000000}"/>
    <cellStyle name="Normal 2 2 2 2" xfId="131" xr:uid="{00000000-0005-0000-0000-00002E000000}"/>
    <cellStyle name="Normal 2 2 2 3 2 2" xfId="204" xr:uid="{00000000-0005-0000-0000-00002F000000}"/>
    <cellStyle name="Normal 2 2_ishan 2" xfId="125" xr:uid="{00000000-0005-0000-0000-000030000000}"/>
    <cellStyle name="Normal 2 3" xfId="147" xr:uid="{00000000-0005-0000-0000-000031000000}"/>
    <cellStyle name="Normal 2 3 2" xfId="148" xr:uid="{00000000-0005-0000-0000-000032000000}"/>
    <cellStyle name="Normal 2 4" xfId="149" xr:uid="{00000000-0005-0000-0000-000033000000}"/>
    <cellStyle name="Normal 2 5" xfId="150" xr:uid="{00000000-0005-0000-0000-000034000000}"/>
    <cellStyle name="Normal 2 6" xfId="117" xr:uid="{00000000-0005-0000-0000-000035000000}"/>
    <cellStyle name="Normal 2_90-دفتر آمار و فناوری 2" xfId="128" xr:uid="{00000000-0005-0000-0000-000036000000}"/>
    <cellStyle name="Normal 20" xfId="41" xr:uid="{00000000-0005-0000-0000-000037000000}"/>
    <cellStyle name="Normal 21" xfId="43" xr:uid="{00000000-0005-0000-0000-000038000000}"/>
    <cellStyle name="Normal 22" xfId="45" xr:uid="{00000000-0005-0000-0000-000039000000}"/>
    <cellStyle name="Normal 23" xfId="42" xr:uid="{00000000-0005-0000-0000-00003A000000}"/>
    <cellStyle name="Normal 24" xfId="46" xr:uid="{00000000-0005-0000-0000-00003B000000}"/>
    <cellStyle name="Normal 25" xfId="114" xr:uid="{00000000-0005-0000-0000-00003C000000}"/>
    <cellStyle name="Normal 26" xfId="12" xr:uid="{00000000-0005-0000-0000-00003D000000}"/>
    <cellStyle name="Normal 27" xfId="66" xr:uid="{00000000-0005-0000-0000-00003E000000}"/>
    <cellStyle name="Normal 27 2" xfId="160" xr:uid="{00000000-0005-0000-0000-00003F000000}"/>
    <cellStyle name="Normal 27 3" xfId="208" xr:uid="{00000000-0005-0000-0000-000040000000}"/>
    <cellStyle name="Normal 28" xfId="47" xr:uid="{00000000-0005-0000-0000-000041000000}"/>
    <cellStyle name="Normal 29" xfId="65" xr:uid="{00000000-0005-0000-0000-000042000000}"/>
    <cellStyle name="Normal 29 2" xfId="159" xr:uid="{00000000-0005-0000-0000-000043000000}"/>
    <cellStyle name="Normal 29 3" xfId="207" xr:uid="{00000000-0005-0000-0000-000044000000}"/>
    <cellStyle name="Normal 3" xfId="27" xr:uid="{00000000-0005-0000-0000-000045000000}"/>
    <cellStyle name="Normal 3 3 2" xfId="5" xr:uid="{00000000-0005-0000-0000-000046000000}"/>
    <cellStyle name="Normal 3 6" xfId="139" xr:uid="{00000000-0005-0000-0000-000047000000}"/>
    <cellStyle name="Normal 30" xfId="52" xr:uid="{00000000-0005-0000-0000-000048000000}"/>
    <cellStyle name="Normal 31" xfId="51" xr:uid="{00000000-0005-0000-0000-000049000000}"/>
    <cellStyle name="Normal 32" xfId="54" xr:uid="{00000000-0005-0000-0000-00004A000000}"/>
    <cellStyle name="Normal 33" xfId="56" xr:uid="{00000000-0005-0000-0000-00004B000000}"/>
    <cellStyle name="Normal 34" xfId="57" xr:uid="{00000000-0005-0000-0000-00004C000000}"/>
    <cellStyle name="Normal 35" xfId="55" xr:uid="{00000000-0005-0000-0000-00004D000000}"/>
    <cellStyle name="Normal 36" xfId="59" xr:uid="{00000000-0005-0000-0000-00004E000000}"/>
    <cellStyle name="Normal 37" xfId="60" xr:uid="{00000000-0005-0000-0000-00004F000000}"/>
    <cellStyle name="Normal 38" xfId="58" xr:uid="{00000000-0005-0000-0000-000050000000}"/>
    <cellStyle name="Normal 39" xfId="48" xr:uid="{00000000-0005-0000-0000-000051000000}"/>
    <cellStyle name="Normal 4" xfId="29" xr:uid="{00000000-0005-0000-0000-000052000000}"/>
    <cellStyle name="Normal 4 2" xfId="151" xr:uid="{00000000-0005-0000-0000-000053000000}"/>
    <cellStyle name="Normal 4 3" xfId="133" xr:uid="{00000000-0005-0000-0000-000054000000}"/>
    <cellStyle name="Normal 40" xfId="49" xr:uid="{00000000-0005-0000-0000-000055000000}"/>
    <cellStyle name="Normal 41" xfId="50" xr:uid="{00000000-0005-0000-0000-000056000000}"/>
    <cellStyle name="Normal 42" xfId="53" xr:uid="{00000000-0005-0000-0000-000057000000}"/>
    <cellStyle name="Normal 43" xfId="44" xr:uid="{00000000-0005-0000-0000-000058000000}"/>
    <cellStyle name="Normal 44" xfId="157" xr:uid="{00000000-0005-0000-0000-000059000000}"/>
    <cellStyle name="Normal 44 3" xfId="6" xr:uid="{00000000-0005-0000-0000-00005A000000}"/>
    <cellStyle name="Normal 45" xfId="21" xr:uid="{00000000-0005-0000-0000-00005B000000}"/>
    <cellStyle name="Normal 46" xfId="7" xr:uid="{00000000-0005-0000-0000-00005C000000}"/>
    <cellStyle name="Normal 47" xfId="67" xr:uid="{00000000-0005-0000-0000-00005D000000}"/>
    <cellStyle name="Normal 47 2" xfId="161" xr:uid="{00000000-0005-0000-0000-00005E000000}"/>
    <cellStyle name="Normal 47 3" xfId="209" xr:uid="{00000000-0005-0000-0000-00005F000000}"/>
    <cellStyle name="Normal 49" xfId="68" xr:uid="{00000000-0005-0000-0000-000060000000}"/>
    <cellStyle name="Normal 49 2" xfId="162" xr:uid="{00000000-0005-0000-0000-000061000000}"/>
    <cellStyle name="Normal 49 3" xfId="210" xr:uid="{00000000-0005-0000-0000-000062000000}"/>
    <cellStyle name="Normal 5" xfId="24" xr:uid="{00000000-0005-0000-0000-000063000000}"/>
    <cellStyle name="Normal 5 2" xfId="62" xr:uid="{00000000-0005-0000-0000-000064000000}"/>
    <cellStyle name="Normal 5 3" xfId="64" xr:uid="{00000000-0005-0000-0000-000065000000}"/>
    <cellStyle name="Normal 5 4" xfId="152" xr:uid="{00000000-0005-0000-0000-000066000000}"/>
    <cellStyle name="Normal 5 5" xfId="137" xr:uid="{00000000-0005-0000-0000-000067000000}"/>
    <cellStyle name="Normal 5 6" xfId="146" xr:uid="{00000000-0005-0000-0000-000068000000}"/>
    <cellStyle name="Normal 50" xfId="206" xr:uid="{00000000-0005-0000-0000-000069000000}"/>
    <cellStyle name="Normal 51" xfId="69" xr:uid="{00000000-0005-0000-0000-00006A000000}"/>
    <cellStyle name="Normal 51 2" xfId="163" xr:uid="{00000000-0005-0000-0000-00006B000000}"/>
    <cellStyle name="Normal 51 3" xfId="211" xr:uid="{00000000-0005-0000-0000-00006C000000}"/>
    <cellStyle name="Normal 52" xfId="70" xr:uid="{00000000-0005-0000-0000-00006D000000}"/>
    <cellStyle name="Normal 52 2" xfId="164" xr:uid="{00000000-0005-0000-0000-00006E000000}"/>
    <cellStyle name="Normal 52 3" xfId="212" xr:uid="{00000000-0005-0000-0000-00006F000000}"/>
    <cellStyle name="Normal 53" xfId="71" xr:uid="{00000000-0005-0000-0000-000070000000}"/>
    <cellStyle name="Normal 53 2" xfId="165" xr:uid="{00000000-0005-0000-0000-000071000000}"/>
    <cellStyle name="Normal 53 3" xfId="213" xr:uid="{00000000-0005-0000-0000-000072000000}"/>
    <cellStyle name="Normal 54" xfId="72" xr:uid="{00000000-0005-0000-0000-000073000000}"/>
    <cellStyle name="Normal 54 2" xfId="166" xr:uid="{00000000-0005-0000-0000-000074000000}"/>
    <cellStyle name="Normal 54 3" xfId="214" xr:uid="{00000000-0005-0000-0000-000075000000}"/>
    <cellStyle name="Normal 55" xfId="73" xr:uid="{00000000-0005-0000-0000-000076000000}"/>
    <cellStyle name="Normal 55 2" xfId="167" xr:uid="{00000000-0005-0000-0000-000077000000}"/>
    <cellStyle name="Normal 55 3" xfId="215" xr:uid="{00000000-0005-0000-0000-000078000000}"/>
    <cellStyle name="Normal 56" xfId="74" xr:uid="{00000000-0005-0000-0000-000079000000}"/>
    <cellStyle name="Normal 56 2" xfId="168" xr:uid="{00000000-0005-0000-0000-00007A000000}"/>
    <cellStyle name="Normal 56 3" xfId="216" xr:uid="{00000000-0005-0000-0000-00007B000000}"/>
    <cellStyle name="Normal 58" xfId="75" xr:uid="{00000000-0005-0000-0000-00007C000000}"/>
    <cellStyle name="Normal 58 2" xfId="169" xr:uid="{00000000-0005-0000-0000-00007D000000}"/>
    <cellStyle name="Normal 58 3" xfId="217" xr:uid="{00000000-0005-0000-0000-00007E000000}"/>
    <cellStyle name="Normal 59" xfId="76" xr:uid="{00000000-0005-0000-0000-00007F000000}"/>
    <cellStyle name="Normal 59 2" xfId="170" xr:uid="{00000000-0005-0000-0000-000080000000}"/>
    <cellStyle name="Normal 59 3" xfId="218" xr:uid="{00000000-0005-0000-0000-000081000000}"/>
    <cellStyle name="Normal 6" xfId="61" xr:uid="{00000000-0005-0000-0000-000082000000}"/>
    <cellStyle name="Normal 6 2" xfId="153" xr:uid="{00000000-0005-0000-0000-000083000000}"/>
    <cellStyle name="Normal 6 3" xfId="63" xr:uid="{00000000-0005-0000-0000-000084000000}"/>
    <cellStyle name="Normal 60" xfId="77" xr:uid="{00000000-0005-0000-0000-000085000000}"/>
    <cellStyle name="Normal 60 2" xfId="171" xr:uid="{00000000-0005-0000-0000-000086000000}"/>
    <cellStyle name="Normal 60 3" xfId="219" xr:uid="{00000000-0005-0000-0000-000087000000}"/>
    <cellStyle name="Normal 61" xfId="78" xr:uid="{00000000-0005-0000-0000-000088000000}"/>
    <cellStyle name="Normal 61 2" xfId="172" xr:uid="{00000000-0005-0000-0000-000089000000}"/>
    <cellStyle name="Normal 61 3" xfId="220" xr:uid="{00000000-0005-0000-0000-00008A000000}"/>
    <cellStyle name="Normal 62" xfId="79" xr:uid="{00000000-0005-0000-0000-00008B000000}"/>
    <cellStyle name="Normal 62 2" xfId="173" xr:uid="{00000000-0005-0000-0000-00008C000000}"/>
    <cellStyle name="Normal 62 3" xfId="221" xr:uid="{00000000-0005-0000-0000-00008D000000}"/>
    <cellStyle name="Normal 63" xfId="80" xr:uid="{00000000-0005-0000-0000-00008E000000}"/>
    <cellStyle name="Normal 63 2" xfId="174" xr:uid="{00000000-0005-0000-0000-00008F000000}"/>
    <cellStyle name="Normal 63 3" xfId="222" xr:uid="{00000000-0005-0000-0000-000090000000}"/>
    <cellStyle name="Normal 64" xfId="81" xr:uid="{00000000-0005-0000-0000-000091000000}"/>
    <cellStyle name="Normal 64 2" xfId="175" xr:uid="{00000000-0005-0000-0000-000092000000}"/>
    <cellStyle name="Normal 64 3" xfId="223" xr:uid="{00000000-0005-0000-0000-000093000000}"/>
    <cellStyle name="Normal 65" xfId="82" xr:uid="{00000000-0005-0000-0000-000094000000}"/>
    <cellStyle name="Normal 65 2" xfId="176" xr:uid="{00000000-0005-0000-0000-000095000000}"/>
    <cellStyle name="Normal 65 3" xfId="224" xr:uid="{00000000-0005-0000-0000-000096000000}"/>
    <cellStyle name="Normal 67" xfId="83" xr:uid="{00000000-0005-0000-0000-000097000000}"/>
    <cellStyle name="Normal 67 2" xfId="177" xr:uid="{00000000-0005-0000-0000-000098000000}"/>
    <cellStyle name="Normal 67 3" xfId="225" xr:uid="{00000000-0005-0000-0000-000099000000}"/>
    <cellStyle name="Normal 68" xfId="84" xr:uid="{00000000-0005-0000-0000-00009A000000}"/>
    <cellStyle name="Normal 68 2" xfId="178" xr:uid="{00000000-0005-0000-0000-00009B000000}"/>
    <cellStyle name="Normal 68 3" xfId="226" xr:uid="{00000000-0005-0000-0000-00009C000000}"/>
    <cellStyle name="Normal 69" xfId="85" xr:uid="{00000000-0005-0000-0000-00009D000000}"/>
    <cellStyle name="Normal 69 2" xfId="179" xr:uid="{00000000-0005-0000-0000-00009E000000}"/>
    <cellStyle name="Normal 69 3" xfId="227" xr:uid="{00000000-0005-0000-0000-00009F000000}"/>
    <cellStyle name="Normal 7" xfId="28" xr:uid="{00000000-0005-0000-0000-0000A0000000}"/>
    <cellStyle name="Normal 7 2" xfId="135" xr:uid="{00000000-0005-0000-0000-0000A1000000}"/>
    <cellStyle name="Normal 70" xfId="86" xr:uid="{00000000-0005-0000-0000-0000A2000000}"/>
    <cellStyle name="Normal 70 2" xfId="180" xr:uid="{00000000-0005-0000-0000-0000A3000000}"/>
    <cellStyle name="Normal 70 3" xfId="228" xr:uid="{00000000-0005-0000-0000-0000A4000000}"/>
    <cellStyle name="Normal 71" xfId="87" xr:uid="{00000000-0005-0000-0000-0000A5000000}"/>
    <cellStyle name="Normal 71 2" xfId="181" xr:uid="{00000000-0005-0000-0000-0000A6000000}"/>
    <cellStyle name="Normal 71 3" xfId="229" xr:uid="{00000000-0005-0000-0000-0000A7000000}"/>
    <cellStyle name="Normal 72" xfId="88" xr:uid="{00000000-0005-0000-0000-0000A8000000}"/>
    <cellStyle name="Normal 72 2" xfId="182" xr:uid="{00000000-0005-0000-0000-0000A9000000}"/>
    <cellStyle name="Normal 72 3" xfId="230" xr:uid="{00000000-0005-0000-0000-0000AA000000}"/>
    <cellStyle name="Normal 74" xfId="89" xr:uid="{00000000-0005-0000-0000-0000AB000000}"/>
    <cellStyle name="Normal 74 2" xfId="183" xr:uid="{00000000-0005-0000-0000-0000AC000000}"/>
    <cellStyle name="Normal 74 3" xfId="231" xr:uid="{00000000-0005-0000-0000-0000AD000000}"/>
    <cellStyle name="Normal 75" xfId="90" xr:uid="{00000000-0005-0000-0000-0000AE000000}"/>
    <cellStyle name="Normal 75 2" xfId="184" xr:uid="{00000000-0005-0000-0000-0000AF000000}"/>
    <cellStyle name="Normal 75 3" xfId="232" xr:uid="{00000000-0005-0000-0000-0000B0000000}"/>
    <cellStyle name="Normal 76" xfId="91" xr:uid="{00000000-0005-0000-0000-0000B1000000}"/>
    <cellStyle name="Normal 76 2" xfId="185" xr:uid="{00000000-0005-0000-0000-0000B2000000}"/>
    <cellStyle name="Normal 76 3" xfId="233" xr:uid="{00000000-0005-0000-0000-0000B3000000}"/>
    <cellStyle name="Normal 77" xfId="92" xr:uid="{00000000-0005-0000-0000-0000B4000000}"/>
    <cellStyle name="Normal 77 2" xfId="186" xr:uid="{00000000-0005-0000-0000-0000B5000000}"/>
    <cellStyle name="Normal 77 3" xfId="234" xr:uid="{00000000-0005-0000-0000-0000B6000000}"/>
    <cellStyle name="Normal 78" xfId="93" xr:uid="{00000000-0005-0000-0000-0000B7000000}"/>
    <cellStyle name="Normal 78 2" xfId="187" xr:uid="{00000000-0005-0000-0000-0000B8000000}"/>
    <cellStyle name="Normal 78 3" xfId="235" xr:uid="{00000000-0005-0000-0000-0000B9000000}"/>
    <cellStyle name="Normal 79" xfId="94" xr:uid="{00000000-0005-0000-0000-0000BA000000}"/>
    <cellStyle name="Normal 79 2" xfId="188" xr:uid="{00000000-0005-0000-0000-0000BB000000}"/>
    <cellStyle name="Normal 79 3" xfId="236" xr:uid="{00000000-0005-0000-0000-0000BC000000}"/>
    <cellStyle name="Normal 8" xfId="30" xr:uid="{00000000-0005-0000-0000-0000BD000000}"/>
    <cellStyle name="Normal 8 2" xfId="136" xr:uid="{00000000-0005-0000-0000-0000BE000000}"/>
    <cellStyle name="Normal 81" xfId="95" xr:uid="{00000000-0005-0000-0000-0000BF000000}"/>
    <cellStyle name="Normal 81 2" xfId="189" xr:uid="{00000000-0005-0000-0000-0000C0000000}"/>
    <cellStyle name="Normal 81 3" xfId="237" xr:uid="{00000000-0005-0000-0000-0000C1000000}"/>
    <cellStyle name="Normal 82" xfId="96" xr:uid="{00000000-0005-0000-0000-0000C2000000}"/>
    <cellStyle name="Normal 82 2" xfId="190" xr:uid="{00000000-0005-0000-0000-0000C3000000}"/>
    <cellStyle name="Normal 82 3" xfId="238" xr:uid="{00000000-0005-0000-0000-0000C4000000}"/>
    <cellStyle name="Normal 83" xfId="97" xr:uid="{00000000-0005-0000-0000-0000C5000000}"/>
    <cellStyle name="Normal 83 2" xfId="191" xr:uid="{00000000-0005-0000-0000-0000C6000000}"/>
    <cellStyle name="Normal 83 3" xfId="239" xr:uid="{00000000-0005-0000-0000-0000C7000000}"/>
    <cellStyle name="Normal 84" xfId="98" xr:uid="{00000000-0005-0000-0000-0000C8000000}"/>
    <cellStyle name="Normal 84 2" xfId="192" xr:uid="{00000000-0005-0000-0000-0000C9000000}"/>
    <cellStyle name="Normal 84 3" xfId="240" xr:uid="{00000000-0005-0000-0000-0000CA000000}"/>
    <cellStyle name="Normal 86" xfId="99" xr:uid="{00000000-0005-0000-0000-0000CB000000}"/>
    <cellStyle name="Normal 86 2" xfId="193" xr:uid="{00000000-0005-0000-0000-0000CC000000}"/>
    <cellStyle name="Normal 86 3" xfId="241" xr:uid="{00000000-0005-0000-0000-0000CD000000}"/>
    <cellStyle name="Normal 88" xfId="100" xr:uid="{00000000-0005-0000-0000-0000CE000000}"/>
    <cellStyle name="Normal 88 2" xfId="194" xr:uid="{00000000-0005-0000-0000-0000CF000000}"/>
    <cellStyle name="Normal 88 3" xfId="242" xr:uid="{00000000-0005-0000-0000-0000D0000000}"/>
    <cellStyle name="Normal 9" xfId="32" xr:uid="{00000000-0005-0000-0000-0000D1000000}"/>
    <cellStyle name="Normal 90" xfId="101" xr:uid="{00000000-0005-0000-0000-0000D2000000}"/>
    <cellStyle name="Normal 90 2" xfId="195" xr:uid="{00000000-0005-0000-0000-0000D3000000}"/>
    <cellStyle name="Normal 90 3" xfId="243" xr:uid="{00000000-0005-0000-0000-0000D4000000}"/>
    <cellStyle name="Normal 91" xfId="102" xr:uid="{00000000-0005-0000-0000-0000D5000000}"/>
    <cellStyle name="Normal 91 2" xfId="196" xr:uid="{00000000-0005-0000-0000-0000D6000000}"/>
    <cellStyle name="Normal 91 3" xfId="244" xr:uid="{00000000-0005-0000-0000-0000D7000000}"/>
    <cellStyle name="Normal 92" xfId="103" xr:uid="{00000000-0005-0000-0000-0000D8000000}"/>
    <cellStyle name="Normal 92 2" xfId="197" xr:uid="{00000000-0005-0000-0000-0000D9000000}"/>
    <cellStyle name="Normal 92 3" xfId="245" xr:uid="{00000000-0005-0000-0000-0000DA000000}"/>
    <cellStyle name="Normal 93" xfId="104" xr:uid="{00000000-0005-0000-0000-0000DB000000}"/>
    <cellStyle name="Normal 93 2" xfId="198" xr:uid="{00000000-0005-0000-0000-0000DC000000}"/>
    <cellStyle name="Normal 93 3" xfId="246" xr:uid="{00000000-0005-0000-0000-0000DD000000}"/>
    <cellStyle name="Normal 95" xfId="105" xr:uid="{00000000-0005-0000-0000-0000DE000000}"/>
    <cellStyle name="Normal 95 2" xfId="199" xr:uid="{00000000-0005-0000-0000-0000DF000000}"/>
    <cellStyle name="Normal 95 3" xfId="247" xr:uid="{00000000-0005-0000-0000-0000E0000000}"/>
    <cellStyle name="Normal 96" xfId="106" xr:uid="{00000000-0005-0000-0000-0000E1000000}"/>
    <cellStyle name="Normal 96 2" xfId="200" xr:uid="{00000000-0005-0000-0000-0000E2000000}"/>
    <cellStyle name="Normal 96 3" xfId="248" xr:uid="{00000000-0005-0000-0000-0000E3000000}"/>
    <cellStyle name="Normal 97" xfId="107" xr:uid="{00000000-0005-0000-0000-0000E4000000}"/>
    <cellStyle name="Normal 97 2" xfId="201" xr:uid="{00000000-0005-0000-0000-0000E5000000}"/>
    <cellStyle name="Normal 97 3" xfId="249" xr:uid="{00000000-0005-0000-0000-0000E6000000}"/>
    <cellStyle name="Normal 99" xfId="108" xr:uid="{00000000-0005-0000-0000-0000E7000000}"/>
    <cellStyle name="Normal 99 2" xfId="202" xr:uid="{00000000-0005-0000-0000-0000E8000000}"/>
    <cellStyle name="Normal 99 3" xfId="250" xr:uid="{00000000-0005-0000-0000-0000E9000000}"/>
    <cellStyle name="Normal_20" xfId="10" xr:uid="{00000000-0005-0000-0000-0000EA000000}"/>
    <cellStyle name="Normal_22" xfId="11" xr:uid="{00000000-0005-0000-0000-0000EB000000}"/>
    <cellStyle name="Normal_24" xfId="14" xr:uid="{00000000-0005-0000-0000-0000EC000000}"/>
    <cellStyle name="Normal_44" xfId="19" xr:uid="{00000000-0005-0000-0000-0000ED000000}"/>
    <cellStyle name="Normal_84." xfId="132" xr:uid="{00000000-0005-0000-0000-0000EE000000}"/>
    <cellStyle name="Normal_91-دفتر آمار و فناوری 2" xfId="129" xr:uid="{00000000-0005-0000-0000-0000EF000000}"/>
    <cellStyle name="Normal_Book2" xfId="130" xr:uid="{00000000-0005-0000-0000-0000F0000000}"/>
    <cellStyle name="Normal_rail1-نهايي" xfId="205" xr:uid="{00000000-0005-0000-0000-0000F1000000}"/>
    <cellStyle name="Normal_Sheet1 (2)" xfId="18" xr:uid="{00000000-0005-0000-0000-0000F2000000}"/>
    <cellStyle name="Normal_Sheet1 (3)" xfId="13" xr:uid="{00000000-0005-0000-0000-0000F3000000}"/>
    <cellStyle name="Normal_Sheet1 (5)" xfId="16" xr:uid="{00000000-0005-0000-0000-0000F4000000}"/>
    <cellStyle name="Normal_Sheet1 (6) 2" xfId="2" xr:uid="{00000000-0005-0000-0000-0000F5000000}"/>
    <cellStyle name="Normal_Sheet1 (7)" xfId="15" xr:uid="{00000000-0005-0000-0000-0000F6000000}"/>
    <cellStyle name="Normal_Sheet3 2" xfId="20" xr:uid="{00000000-0005-0000-0000-0000F7000000}"/>
    <cellStyle name="Normal_val_takhir " xfId="118" xr:uid="{00000000-0005-0000-0000-0000F8000000}"/>
    <cellStyle name="Percent 2" xfId="3" xr:uid="{00000000-0005-0000-0000-0000F9000000}"/>
    <cellStyle name="Percent 3" xfId="119" xr:uid="{00000000-0005-0000-0000-0000FA000000}"/>
    <cellStyle name="Percent 4" xfId="115" xr:uid="{00000000-0005-0000-0000-0000F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5.xml"/><Relationship Id="rId21" Type="http://schemas.openxmlformats.org/officeDocument/2006/relationships/worksheet" Target="worksheets/sheet20.xml"/><Relationship Id="rId42" Type="http://schemas.openxmlformats.org/officeDocument/2006/relationships/worksheet" Target="worksheets/sheet41.xml"/><Relationship Id="rId47" Type="http://schemas.openxmlformats.org/officeDocument/2006/relationships/worksheet" Target="worksheets/sheet46.xml"/><Relationship Id="rId63" Type="http://schemas.openxmlformats.org/officeDocument/2006/relationships/worksheet" Target="worksheets/sheet62.xml"/><Relationship Id="rId68" Type="http://schemas.openxmlformats.org/officeDocument/2006/relationships/worksheet" Target="worksheets/sheet67.xml"/><Relationship Id="rId84" Type="http://schemas.openxmlformats.org/officeDocument/2006/relationships/worksheet" Target="worksheets/sheet83.xml"/><Relationship Id="rId89" Type="http://schemas.openxmlformats.org/officeDocument/2006/relationships/externalLink" Target="externalLinks/externalLink2.xml"/><Relationship Id="rId16" Type="http://schemas.openxmlformats.org/officeDocument/2006/relationships/chartsheet" Target="chartsheets/sheet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1.xml"/><Relationship Id="rId37" Type="http://schemas.openxmlformats.org/officeDocument/2006/relationships/worksheet" Target="worksheets/sheet36.xml"/><Relationship Id="rId53" Type="http://schemas.openxmlformats.org/officeDocument/2006/relationships/worksheet" Target="worksheets/sheet52.xml"/><Relationship Id="rId58" Type="http://schemas.openxmlformats.org/officeDocument/2006/relationships/worksheet" Target="worksheets/sheet57.xml"/><Relationship Id="rId74" Type="http://schemas.openxmlformats.org/officeDocument/2006/relationships/worksheet" Target="worksheets/sheet73.xml"/><Relationship Id="rId79" Type="http://schemas.openxmlformats.org/officeDocument/2006/relationships/worksheet" Target="worksheets/sheet78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3.xml"/><Relationship Id="rId95" Type="http://schemas.openxmlformats.org/officeDocument/2006/relationships/externalLink" Target="externalLinks/externalLink8.xml"/><Relationship Id="rId22" Type="http://schemas.openxmlformats.org/officeDocument/2006/relationships/worksheet" Target="worksheets/sheet21.xml"/><Relationship Id="rId27" Type="http://schemas.openxmlformats.org/officeDocument/2006/relationships/worksheet" Target="worksheets/sheet26.xml"/><Relationship Id="rId43" Type="http://schemas.openxmlformats.org/officeDocument/2006/relationships/worksheet" Target="worksheets/sheet42.xml"/><Relationship Id="rId48" Type="http://schemas.openxmlformats.org/officeDocument/2006/relationships/worksheet" Target="worksheets/sheet47.xml"/><Relationship Id="rId64" Type="http://schemas.openxmlformats.org/officeDocument/2006/relationships/worksheet" Target="worksheets/sheet63.xml"/><Relationship Id="rId69" Type="http://schemas.openxmlformats.org/officeDocument/2006/relationships/worksheet" Target="worksheets/sheet68.xml"/><Relationship Id="rId80" Type="http://schemas.openxmlformats.org/officeDocument/2006/relationships/worksheet" Target="worksheets/sheet79.xml"/><Relationship Id="rId85" Type="http://schemas.openxmlformats.org/officeDocument/2006/relationships/worksheet" Target="worksheets/sheet84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6.xml"/><Relationship Id="rId25" Type="http://schemas.openxmlformats.org/officeDocument/2006/relationships/worksheet" Target="worksheets/sheet24.xml"/><Relationship Id="rId33" Type="http://schemas.openxmlformats.org/officeDocument/2006/relationships/worksheet" Target="worksheets/sheet32.xml"/><Relationship Id="rId38" Type="http://schemas.openxmlformats.org/officeDocument/2006/relationships/worksheet" Target="worksheets/sheet37.xml"/><Relationship Id="rId46" Type="http://schemas.openxmlformats.org/officeDocument/2006/relationships/worksheet" Target="worksheets/sheet45.xml"/><Relationship Id="rId59" Type="http://schemas.openxmlformats.org/officeDocument/2006/relationships/worksheet" Target="worksheets/sheet58.xml"/><Relationship Id="rId67" Type="http://schemas.openxmlformats.org/officeDocument/2006/relationships/worksheet" Target="worksheets/sheet66.xml"/><Relationship Id="rId20" Type="http://schemas.openxmlformats.org/officeDocument/2006/relationships/worksheet" Target="worksheets/sheet19.xml"/><Relationship Id="rId41" Type="http://schemas.openxmlformats.org/officeDocument/2006/relationships/worksheet" Target="worksheets/sheet40.xml"/><Relationship Id="rId54" Type="http://schemas.openxmlformats.org/officeDocument/2006/relationships/worksheet" Target="worksheets/sheet53.xml"/><Relationship Id="rId62" Type="http://schemas.openxmlformats.org/officeDocument/2006/relationships/worksheet" Target="worksheets/sheet61.xml"/><Relationship Id="rId70" Type="http://schemas.openxmlformats.org/officeDocument/2006/relationships/worksheet" Target="worksheets/sheet69.xml"/><Relationship Id="rId75" Type="http://schemas.openxmlformats.org/officeDocument/2006/relationships/worksheet" Target="worksheets/sheet74.xml"/><Relationship Id="rId83" Type="http://schemas.openxmlformats.org/officeDocument/2006/relationships/worksheet" Target="worksheets/sheet82.xml"/><Relationship Id="rId88" Type="http://schemas.openxmlformats.org/officeDocument/2006/relationships/externalLink" Target="externalLinks/externalLink1.xml"/><Relationship Id="rId91" Type="http://schemas.openxmlformats.org/officeDocument/2006/relationships/externalLink" Target="externalLinks/externalLink4.xml"/><Relationship Id="rId96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2.xml"/><Relationship Id="rId28" Type="http://schemas.openxmlformats.org/officeDocument/2006/relationships/worksheet" Target="worksheets/sheet27.xml"/><Relationship Id="rId36" Type="http://schemas.openxmlformats.org/officeDocument/2006/relationships/worksheet" Target="worksheets/sheet35.xml"/><Relationship Id="rId49" Type="http://schemas.openxmlformats.org/officeDocument/2006/relationships/worksheet" Target="worksheets/sheet48.xml"/><Relationship Id="rId57" Type="http://schemas.openxmlformats.org/officeDocument/2006/relationships/worksheet" Target="worksheets/sheet5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0.xml"/><Relationship Id="rId44" Type="http://schemas.openxmlformats.org/officeDocument/2006/relationships/worksheet" Target="worksheets/sheet43.xml"/><Relationship Id="rId52" Type="http://schemas.openxmlformats.org/officeDocument/2006/relationships/worksheet" Target="worksheets/sheet51.xml"/><Relationship Id="rId60" Type="http://schemas.openxmlformats.org/officeDocument/2006/relationships/worksheet" Target="worksheets/sheet59.xml"/><Relationship Id="rId65" Type="http://schemas.openxmlformats.org/officeDocument/2006/relationships/worksheet" Target="worksheets/sheet64.xml"/><Relationship Id="rId73" Type="http://schemas.openxmlformats.org/officeDocument/2006/relationships/worksheet" Target="worksheets/sheet72.xml"/><Relationship Id="rId78" Type="http://schemas.openxmlformats.org/officeDocument/2006/relationships/worksheet" Target="worksheets/sheet77.xml"/><Relationship Id="rId81" Type="http://schemas.openxmlformats.org/officeDocument/2006/relationships/worksheet" Target="worksheets/sheet80.xml"/><Relationship Id="rId86" Type="http://schemas.openxmlformats.org/officeDocument/2006/relationships/worksheet" Target="worksheets/sheet85.xml"/><Relationship Id="rId94" Type="http://schemas.openxmlformats.org/officeDocument/2006/relationships/externalLink" Target="externalLinks/externalLink7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7.xml"/><Relationship Id="rId39" Type="http://schemas.openxmlformats.org/officeDocument/2006/relationships/worksheet" Target="worksheets/sheet38.xml"/><Relationship Id="rId34" Type="http://schemas.openxmlformats.org/officeDocument/2006/relationships/worksheet" Target="worksheets/sheet33.xml"/><Relationship Id="rId50" Type="http://schemas.openxmlformats.org/officeDocument/2006/relationships/worksheet" Target="worksheets/sheet49.xml"/><Relationship Id="rId55" Type="http://schemas.openxmlformats.org/officeDocument/2006/relationships/worksheet" Target="worksheets/sheet54.xml"/><Relationship Id="rId76" Type="http://schemas.openxmlformats.org/officeDocument/2006/relationships/worksheet" Target="worksheets/sheet75.xml"/><Relationship Id="rId97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0.xml"/><Relationship Id="rId9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8.xml"/><Relationship Id="rId24" Type="http://schemas.openxmlformats.org/officeDocument/2006/relationships/worksheet" Target="worksheets/sheet23.xml"/><Relationship Id="rId40" Type="http://schemas.openxmlformats.org/officeDocument/2006/relationships/worksheet" Target="worksheets/sheet39.xml"/><Relationship Id="rId45" Type="http://schemas.openxmlformats.org/officeDocument/2006/relationships/worksheet" Target="worksheets/sheet44.xml"/><Relationship Id="rId66" Type="http://schemas.openxmlformats.org/officeDocument/2006/relationships/worksheet" Target="worksheets/sheet65.xml"/><Relationship Id="rId87" Type="http://schemas.openxmlformats.org/officeDocument/2006/relationships/worksheet" Target="worksheets/sheet86.xml"/><Relationship Id="rId61" Type="http://schemas.openxmlformats.org/officeDocument/2006/relationships/worksheet" Target="worksheets/sheet60.xml"/><Relationship Id="rId82" Type="http://schemas.openxmlformats.org/officeDocument/2006/relationships/worksheet" Target="worksheets/sheet81.xml"/><Relationship Id="rId19" Type="http://schemas.openxmlformats.org/officeDocument/2006/relationships/worksheet" Target="worksheets/sheet18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29.xml"/><Relationship Id="rId35" Type="http://schemas.openxmlformats.org/officeDocument/2006/relationships/worksheet" Target="worksheets/sheet34.xml"/><Relationship Id="rId56" Type="http://schemas.openxmlformats.org/officeDocument/2006/relationships/worksheet" Target="worksheets/sheet55.xml"/><Relationship Id="rId77" Type="http://schemas.openxmlformats.org/officeDocument/2006/relationships/worksheet" Target="worksheets/sheet76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0.xml"/><Relationship Id="rId72" Type="http://schemas.openxmlformats.org/officeDocument/2006/relationships/worksheet" Target="worksheets/sheet71.xml"/><Relationship Id="rId93" Type="http://schemas.openxmlformats.org/officeDocument/2006/relationships/externalLink" Target="externalLinks/externalLink6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99"/>
                </a:solidFill>
                <a:latin typeface="B Roya"/>
                <a:ea typeface="B Roya"/>
                <a:cs typeface="B Roya"/>
              </a:defRPr>
            </a:pPr>
            <a:r>
              <a:rPr lang="fa-IR" sz="1000">
                <a:solidFill>
                  <a:srgbClr val="000099"/>
                </a:solidFill>
              </a:rPr>
              <a:t>ب -  تعدادپرسنل  </a:t>
            </a:r>
          </a:p>
        </c:rich>
      </c:tx>
      <c:layout>
        <c:manualLayout>
          <c:xMode val="edge"/>
          <c:yMode val="edge"/>
          <c:x val="0.40794290303617414"/>
          <c:y val="2.77780600005644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63599238593579"/>
          <c:y val="0.15794485366748512"/>
          <c:w val="0.83588438026716305"/>
          <c:h val="0.6929512036801851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33CC33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'18'!$E$2:$N$2</c:f>
              <c:numCache>
                <c:formatCode>General</c:formatCode>
                <c:ptCount val="10"/>
                <c:pt idx="0">
                  <c:v>1394</c:v>
                </c:pt>
                <c:pt idx="1">
                  <c:v>1395</c:v>
                </c:pt>
                <c:pt idx="2">
                  <c:v>1396</c:v>
                </c:pt>
                <c:pt idx="3">
                  <c:v>1397</c:v>
                </c:pt>
                <c:pt idx="4">
                  <c:v>1398</c:v>
                </c:pt>
                <c:pt idx="5">
                  <c:v>1399</c:v>
                </c:pt>
                <c:pt idx="6">
                  <c:v>1400</c:v>
                </c:pt>
                <c:pt idx="7">
                  <c:v>1401</c:v>
                </c:pt>
                <c:pt idx="8">
                  <c:v>1402</c:v>
                </c:pt>
                <c:pt idx="9">
                  <c:v>1403</c:v>
                </c:pt>
              </c:numCache>
            </c:numRef>
          </c:cat>
          <c:val>
            <c:numRef>
              <c:f>'18'!$E$4:$N$4</c:f>
              <c:numCache>
                <c:formatCode>#,##0</c:formatCode>
                <c:ptCount val="10"/>
                <c:pt idx="0">
                  <c:v>9216</c:v>
                </c:pt>
                <c:pt idx="1">
                  <c:v>9022</c:v>
                </c:pt>
                <c:pt idx="2">
                  <c:v>8812</c:v>
                </c:pt>
                <c:pt idx="3">
                  <c:v>8403</c:v>
                </c:pt>
                <c:pt idx="4">
                  <c:v>7958</c:v>
                </c:pt>
                <c:pt idx="5">
                  <c:v>7598</c:v>
                </c:pt>
                <c:pt idx="6">
                  <c:v>7207</c:v>
                </c:pt>
                <c:pt idx="7">
                  <c:v>6809</c:v>
                </c:pt>
                <c:pt idx="8">
                  <c:v>6592</c:v>
                </c:pt>
                <c:pt idx="9" formatCode="General">
                  <c:v>6758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A7-4BE6-AD34-0C420E2E1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8824640"/>
        <c:axId val="-1538807776"/>
      </c:lineChart>
      <c:catAx>
        <c:axId val="-153882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07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38807776"/>
        <c:scaling>
          <c:orientation val="minMax"/>
          <c:max val="2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75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2464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2310549839417038E-2"/>
                <c:y val="0.14910507154347641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550" b="1" i="0" u="none" strike="noStrike" baseline="0">
                      <a:solidFill>
                        <a:srgbClr val="FF0000"/>
                      </a:solidFill>
                      <a:latin typeface="B Roya"/>
                      <a:ea typeface="B Roya"/>
                      <a:cs typeface="B Roya"/>
                    </a:defRPr>
                  </a:pPr>
                  <a:r>
                    <a:rPr lang="fa-IR"/>
                    <a:t>هزارنفر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99"/>
                </a:solidFill>
                <a:latin typeface="B Roya"/>
                <a:ea typeface="B Roya"/>
                <a:cs typeface="B Roya"/>
              </a:defRPr>
            </a:pPr>
            <a:r>
              <a:rPr lang="fa-IR" sz="900">
                <a:solidFill>
                  <a:srgbClr val="000099"/>
                </a:solidFill>
              </a:rPr>
              <a:t>ث - تعدادمسافر</a:t>
            </a:r>
          </a:p>
        </c:rich>
      </c:tx>
      <c:layout>
        <c:manualLayout>
          <c:xMode val="edge"/>
          <c:yMode val="edge"/>
          <c:x val="0.42446028107246087"/>
          <c:y val="2.80896339570456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24001227981383"/>
          <c:y val="0.14276544545855818"/>
          <c:w val="0.8375115123254484"/>
          <c:h val="0.69915906081360069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33CC33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'18'!$E$2:$N$2</c:f>
              <c:numCache>
                <c:formatCode>General</c:formatCode>
                <c:ptCount val="10"/>
                <c:pt idx="0">
                  <c:v>1394</c:v>
                </c:pt>
                <c:pt idx="1">
                  <c:v>1395</c:v>
                </c:pt>
                <c:pt idx="2">
                  <c:v>1396</c:v>
                </c:pt>
                <c:pt idx="3">
                  <c:v>1397</c:v>
                </c:pt>
                <c:pt idx="4">
                  <c:v>1398</c:v>
                </c:pt>
                <c:pt idx="5">
                  <c:v>1399</c:v>
                </c:pt>
                <c:pt idx="6">
                  <c:v>1400</c:v>
                </c:pt>
                <c:pt idx="7">
                  <c:v>1401</c:v>
                </c:pt>
                <c:pt idx="8">
                  <c:v>1402</c:v>
                </c:pt>
                <c:pt idx="9">
                  <c:v>1403</c:v>
                </c:pt>
              </c:numCache>
            </c:numRef>
          </c:cat>
          <c:val>
            <c:numRef>
              <c:f>'18'!$E$11:$N$11</c:f>
              <c:numCache>
                <c:formatCode>#,##0</c:formatCode>
                <c:ptCount val="10"/>
                <c:pt idx="0">
                  <c:v>24452.602999999999</c:v>
                </c:pt>
                <c:pt idx="1">
                  <c:v>23041.531999999999</c:v>
                </c:pt>
                <c:pt idx="2">
                  <c:v>24480</c:v>
                </c:pt>
                <c:pt idx="3">
                  <c:v>28093.526000000002</c:v>
                </c:pt>
                <c:pt idx="4">
                  <c:v>28598.612000000001</c:v>
                </c:pt>
                <c:pt idx="5">
                  <c:v>11103.168</c:v>
                </c:pt>
                <c:pt idx="6">
                  <c:v>20732.585999999999</c:v>
                </c:pt>
                <c:pt idx="7">
                  <c:v>29665.857</c:v>
                </c:pt>
                <c:pt idx="8">
                  <c:v>31784.127</c:v>
                </c:pt>
                <c:pt idx="9">
                  <c:v>30140.984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A3-45EB-81FF-941B84802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8830624"/>
        <c:axId val="-1538830080"/>
      </c:lineChart>
      <c:catAx>
        <c:axId val="-153883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30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38830080"/>
        <c:scaling>
          <c:orientation val="minMax"/>
          <c:min val="8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3062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7985611510791366E-2"/>
                <c:y val="0.1516858093558236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550" b="1" i="0" u="none" strike="noStrike" baseline="0">
                      <a:solidFill>
                        <a:srgbClr val="FF0000"/>
                      </a:solidFill>
                      <a:latin typeface="B Roya"/>
                      <a:ea typeface="B Roya"/>
                      <a:cs typeface="B Roya"/>
                    </a:defRPr>
                  </a:pPr>
                  <a:r>
                    <a:rPr lang="fa-IR"/>
                    <a:t>ميليون نفر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نمودار شماره 1 - تعداد واگن هاي وارده راه آهن درسالهاي </a:t>
            </a:r>
            <a:r>
              <a:rPr lang="en-US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1397</a:t>
            </a: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- </a:t>
            </a:r>
            <a:r>
              <a:rPr lang="en-US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1396</a:t>
            </a:r>
            <a:endParaRPr lang="fa-IR" sz="1100" b="1" i="0" u="none" strike="noStrike" baseline="0">
              <a:solidFill>
                <a:srgbClr val="000099"/>
              </a:solidFill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17163924472127551"/>
          <c:y val="2.01879689281264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16488424021625"/>
          <c:y val="0.12147172512526844"/>
          <c:w val="0.85633035609354802"/>
          <c:h val="0.73138930360977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'33'!$B$24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'[4]35'!$A$25:$A$33</c:f>
              <c:strCache>
                <c:ptCount val="9"/>
                <c:pt idx="0">
                  <c:v>بندرامام</c:v>
                </c:pt>
                <c:pt idx="1">
                  <c:v>سربندر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میرجاوه</c:v>
                </c:pt>
                <c:pt idx="7">
                  <c:v>بندرامیرآباد</c:v>
                </c:pt>
                <c:pt idx="8">
                  <c:v>خرمشهر</c:v>
                </c:pt>
              </c:strCache>
            </c:strRef>
          </c:cat>
          <c:val>
            <c:numRef>
              <c:f>'[4]35'!$B$25:$B$33</c:f>
              <c:numCache>
                <c:formatCode>General</c:formatCode>
                <c:ptCount val="9"/>
                <c:pt idx="0">
                  <c:v>23877</c:v>
                </c:pt>
                <c:pt idx="1">
                  <c:v>27</c:v>
                </c:pt>
                <c:pt idx="2">
                  <c:v>337</c:v>
                </c:pt>
                <c:pt idx="3">
                  <c:v>12311</c:v>
                </c:pt>
                <c:pt idx="4">
                  <c:v>5355</c:v>
                </c:pt>
                <c:pt idx="5">
                  <c:v>2419</c:v>
                </c:pt>
                <c:pt idx="6">
                  <c:v>336</c:v>
                </c:pt>
                <c:pt idx="7">
                  <c:v>197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F-44BC-A76B-9C7D834EA33F}"/>
            </c:ext>
          </c:extLst>
        </c:ser>
        <c:ser>
          <c:idx val="1"/>
          <c:order val="1"/>
          <c:tx>
            <c:strRef>
              <c:f>'33'!$C$24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75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'[4]35'!$A$25:$A$33</c:f>
              <c:strCache>
                <c:ptCount val="9"/>
                <c:pt idx="0">
                  <c:v>بندرامام</c:v>
                </c:pt>
                <c:pt idx="1">
                  <c:v>سربندر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میرجاوه</c:v>
                </c:pt>
                <c:pt idx="7">
                  <c:v>بندرامیرآباد</c:v>
                </c:pt>
                <c:pt idx="8">
                  <c:v>خرمشهر</c:v>
                </c:pt>
              </c:strCache>
            </c:strRef>
          </c:cat>
          <c:val>
            <c:numRef>
              <c:f>'[4]35'!$C$25:$C$33</c:f>
              <c:numCache>
                <c:formatCode>General</c:formatCode>
                <c:ptCount val="9"/>
                <c:pt idx="0">
                  <c:v>29634</c:v>
                </c:pt>
                <c:pt idx="1">
                  <c:v>0</c:v>
                </c:pt>
                <c:pt idx="2">
                  <c:v>902</c:v>
                </c:pt>
                <c:pt idx="3">
                  <c:v>16269</c:v>
                </c:pt>
                <c:pt idx="4">
                  <c:v>4743</c:v>
                </c:pt>
                <c:pt idx="5">
                  <c:v>4101</c:v>
                </c:pt>
                <c:pt idx="6">
                  <c:v>392</c:v>
                </c:pt>
                <c:pt idx="7">
                  <c:v>307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9F-44BC-A76B-9C7D834EA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538828448"/>
        <c:axId val="-1538827904"/>
      </c:barChart>
      <c:catAx>
        <c:axId val="-153882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27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38827904"/>
        <c:scaling>
          <c:orientation val="minMax"/>
          <c:max val="3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2844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0141997874538336E-2"/>
                <c:y val="0.10478371563536139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1000" b="1" i="0" u="none" strike="noStrike" baseline="0">
                      <a:solidFill>
                        <a:srgbClr val="333399"/>
                      </a:solidFill>
                      <a:latin typeface="B Mitra"/>
                      <a:ea typeface="B Mitra"/>
                      <a:cs typeface="B Nazanin" panose="00000400000000000000" pitchFamily="2" charset="-78"/>
                    </a:defRPr>
                  </a:pPr>
                  <a:r>
                    <a:rPr lang="fa-IR">
                      <a:cs typeface="B Nazanin" panose="00000400000000000000" pitchFamily="2" charset="-78"/>
                    </a:rPr>
                    <a:t>هزارواگن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641791044776115"/>
          <c:y val="0.34090909090909088"/>
          <c:w val="0.125"/>
          <c:h val="0.146464646464646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0.98425196850393704" l="2.3228346456692917" r="1.5354330708661419" t="0.98425196850393704" header="0.51181102362204722" footer="0.51181102362204722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نمودار شماره 2 - تعداد واگن هاي صادره به مقاصد خروجي درسالهاي </a:t>
            </a:r>
            <a:r>
              <a:rPr lang="en-US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1397</a:t>
            </a: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- </a:t>
            </a:r>
            <a:r>
              <a:rPr lang="en-US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1396</a:t>
            </a:r>
            <a:endParaRPr lang="fa-IR" sz="1100" b="1" i="0" u="none" strike="noStrike" baseline="0">
              <a:solidFill>
                <a:srgbClr val="000099"/>
              </a:solidFill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15304032117936478"/>
          <c:y val="2.8972114526293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76595744680851"/>
          <c:y val="0.12218605406282977"/>
          <c:w val="0.86382978723404258"/>
          <c:h val="0.734048759368996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'33'!$G$24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'[4]35'!$F$25:$F$33</c:f>
              <c:strCache>
                <c:ptCount val="9"/>
                <c:pt idx="0">
                  <c:v>بندرامام</c:v>
                </c:pt>
                <c:pt idx="1">
                  <c:v>ماهشهر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ميرجاوه</c:v>
                </c:pt>
                <c:pt idx="7">
                  <c:v>بندرامیرآباد</c:v>
                </c:pt>
                <c:pt idx="8">
                  <c:v>خرمشهر</c:v>
                </c:pt>
              </c:strCache>
            </c:strRef>
          </c:cat>
          <c:val>
            <c:numRef>
              <c:f>'[4]35'!$G$25:$G$33</c:f>
              <c:numCache>
                <c:formatCode>General</c:formatCode>
                <c:ptCount val="9"/>
                <c:pt idx="0">
                  <c:v>22091</c:v>
                </c:pt>
                <c:pt idx="1">
                  <c:v>21013</c:v>
                </c:pt>
                <c:pt idx="2">
                  <c:v>318</c:v>
                </c:pt>
                <c:pt idx="3">
                  <c:v>125735</c:v>
                </c:pt>
                <c:pt idx="4">
                  <c:v>9080</c:v>
                </c:pt>
                <c:pt idx="5">
                  <c:v>1325</c:v>
                </c:pt>
                <c:pt idx="6">
                  <c:v>718</c:v>
                </c:pt>
                <c:pt idx="7">
                  <c:v>0</c:v>
                </c:pt>
                <c:pt idx="8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D4-4700-BFBB-AB9627EC6D9A}"/>
            </c:ext>
          </c:extLst>
        </c:ser>
        <c:ser>
          <c:idx val="1"/>
          <c:order val="1"/>
          <c:tx>
            <c:strRef>
              <c:f>'33'!$H$24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80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'[4]35'!$F$25:$F$33</c:f>
              <c:strCache>
                <c:ptCount val="9"/>
                <c:pt idx="0">
                  <c:v>بندرامام</c:v>
                </c:pt>
                <c:pt idx="1">
                  <c:v>ماهشهر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ميرجاوه</c:v>
                </c:pt>
                <c:pt idx="7">
                  <c:v>بندرامیرآباد</c:v>
                </c:pt>
                <c:pt idx="8">
                  <c:v>خرمشهر</c:v>
                </c:pt>
              </c:strCache>
            </c:strRef>
          </c:cat>
          <c:val>
            <c:numRef>
              <c:f>'[4]35'!$H$25:$H$33</c:f>
              <c:numCache>
                <c:formatCode>General</c:formatCode>
                <c:ptCount val="9"/>
                <c:pt idx="0">
                  <c:v>35817</c:v>
                </c:pt>
                <c:pt idx="1">
                  <c:v>18115</c:v>
                </c:pt>
                <c:pt idx="2">
                  <c:v>269</c:v>
                </c:pt>
                <c:pt idx="3">
                  <c:v>130087</c:v>
                </c:pt>
                <c:pt idx="4">
                  <c:v>6681</c:v>
                </c:pt>
                <c:pt idx="5">
                  <c:v>662</c:v>
                </c:pt>
                <c:pt idx="6">
                  <c:v>1442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D4-4700-BFBB-AB9627EC6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714872848"/>
        <c:axId val="-1714876656"/>
      </c:barChart>
      <c:catAx>
        <c:axId val="-171487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14876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714876656"/>
        <c:scaling>
          <c:orientation val="minMax"/>
          <c:max val="14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14872848"/>
        <c:crosses val="autoZero"/>
        <c:crossBetween val="between"/>
        <c:majorUnit val="20000"/>
        <c:dispUnits>
          <c:builtInUnit val="thousands"/>
          <c:dispUnitsLbl>
            <c:layout>
              <c:manualLayout>
                <c:xMode val="edge"/>
                <c:yMode val="edge"/>
                <c:x val="3.8465404590383602E-4"/>
                <c:y val="8.286254629130263E-2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1000" b="1" i="0" u="none" strike="noStrike" baseline="0">
                      <a:solidFill>
                        <a:srgbClr val="333399"/>
                      </a:solidFill>
                      <a:latin typeface="B Mitra"/>
                      <a:ea typeface="B Mitra"/>
                      <a:cs typeface="B Nazanin" panose="00000400000000000000" pitchFamily="2" charset="-78"/>
                    </a:defRPr>
                  </a:pPr>
                  <a:r>
                    <a:rPr lang="fa-IR">
                      <a:cs typeface="B Nazanin" panose="00000400000000000000" pitchFamily="2" charset="-78"/>
                    </a:rPr>
                    <a:t>هزارواگن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944250871080136"/>
          <c:y val="0.30710659898477155"/>
          <c:w val="0.12020905923344949"/>
          <c:h val="0.152284263959390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 horizontalDpi="0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نمودار شماره 3 - تناژ بار وارده راه آهن درسالهاي </a:t>
            </a:r>
            <a:r>
              <a:rPr lang="en-US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1397</a:t>
            </a: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-</a:t>
            </a:r>
            <a:r>
              <a:rPr lang="en-US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1396</a:t>
            </a:r>
            <a:endParaRPr lang="fa-IR" sz="1100" b="1" i="0" u="none" strike="noStrike" baseline="0">
              <a:solidFill>
                <a:srgbClr val="000099"/>
              </a:solidFill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19677320299184425"/>
          <c:y val="2.51763326538497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627376408002662E-2"/>
          <c:y val="0.12342221773468913"/>
          <c:w val="0.88008169819559678"/>
          <c:h val="0.711662726535238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'33'!$L$24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'[4]35'!$K$25:$K$33</c:f>
              <c:strCache>
                <c:ptCount val="9"/>
                <c:pt idx="0">
                  <c:v>بندرامام</c:v>
                </c:pt>
                <c:pt idx="1">
                  <c:v>سربندر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میرجاوه</c:v>
                </c:pt>
                <c:pt idx="7">
                  <c:v>بندر امیرآباد</c:v>
                </c:pt>
                <c:pt idx="8">
                  <c:v>خرمشهر</c:v>
                </c:pt>
              </c:strCache>
            </c:strRef>
          </c:cat>
          <c:val>
            <c:numRef>
              <c:f>'[4]35'!$L$25:$L$33</c:f>
              <c:numCache>
                <c:formatCode>General</c:formatCode>
                <c:ptCount val="9"/>
                <c:pt idx="0">
                  <c:v>1318659</c:v>
                </c:pt>
                <c:pt idx="1">
                  <c:v>1418</c:v>
                </c:pt>
                <c:pt idx="2">
                  <c:v>22097</c:v>
                </c:pt>
                <c:pt idx="3">
                  <c:v>692686</c:v>
                </c:pt>
                <c:pt idx="4">
                  <c:v>320583</c:v>
                </c:pt>
                <c:pt idx="5">
                  <c:v>97296</c:v>
                </c:pt>
                <c:pt idx="6">
                  <c:v>7998</c:v>
                </c:pt>
                <c:pt idx="7">
                  <c:v>10697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29-4649-86E5-8D1D37117446}"/>
            </c:ext>
          </c:extLst>
        </c:ser>
        <c:ser>
          <c:idx val="1"/>
          <c:order val="1"/>
          <c:tx>
            <c:strRef>
              <c:f>'33'!$M$24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75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'[4]35'!$K$25:$K$33</c:f>
              <c:strCache>
                <c:ptCount val="9"/>
                <c:pt idx="0">
                  <c:v>بندرامام</c:v>
                </c:pt>
                <c:pt idx="1">
                  <c:v>سربندر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میرجاوه</c:v>
                </c:pt>
                <c:pt idx="7">
                  <c:v>بندر امیرآباد</c:v>
                </c:pt>
                <c:pt idx="8">
                  <c:v>خرمشهر</c:v>
                </c:pt>
              </c:strCache>
            </c:strRef>
          </c:cat>
          <c:val>
            <c:numRef>
              <c:f>'[4]35'!$M$25:$M$33</c:f>
              <c:numCache>
                <c:formatCode>General</c:formatCode>
                <c:ptCount val="9"/>
                <c:pt idx="0">
                  <c:v>1645879</c:v>
                </c:pt>
                <c:pt idx="1">
                  <c:v>0</c:v>
                </c:pt>
                <c:pt idx="2">
                  <c:v>58312</c:v>
                </c:pt>
                <c:pt idx="3">
                  <c:v>882145</c:v>
                </c:pt>
                <c:pt idx="4">
                  <c:v>280484</c:v>
                </c:pt>
                <c:pt idx="5">
                  <c:v>178967</c:v>
                </c:pt>
                <c:pt idx="6">
                  <c:v>9175</c:v>
                </c:pt>
                <c:pt idx="7">
                  <c:v>16506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29-4649-86E5-8D1D37117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714868496"/>
        <c:axId val="-1714885360"/>
      </c:barChart>
      <c:catAx>
        <c:axId val="-171486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14885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714885360"/>
        <c:scaling>
          <c:orientation val="minMax"/>
          <c:max val="200000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14868496"/>
        <c:crosses val="autoZero"/>
        <c:crossBetween val="between"/>
        <c:majorUnit val="400000"/>
        <c:minorUnit val="100000"/>
        <c:dispUnits>
          <c:builtInUnit val="millions"/>
          <c:dispUnitsLbl>
            <c:layout>
              <c:manualLayout>
                <c:xMode val="edge"/>
                <c:yMode val="edge"/>
                <c:x val="6.0118603242573134E-4"/>
                <c:y val="0.22999533687730656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975" b="1" i="0" u="none" strike="noStrike" baseline="0">
                      <a:solidFill>
                        <a:srgbClr val="333399"/>
                      </a:solidFill>
                      <a:latin typeface="B Mitra"/>
                      <a:ea typeface="B Mitra"/>
                      <a:cs typeface="B Nazanin" panose="00000400000000000000" pitchFamily="2" charset="-78"/>
                    </a:defRPr>
                  </a:pPr>
                  <a:r>
                    <a:rPr lang="fa-IR">
                      <a:cs typeface="B Nazanin" panose="00000400000000000000" pitchFamily="2" charset="-78"/>
                    </a:rPr>
                    <a:t>ميليون تن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46246813066077"/>
          <c:y val="0.31038091050801392"/>
          <c:w val="0.11221369242977008"/>
          <c:h val="0.154567062365935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نمودار شماره 4 - تناژ بار صادره راه آهن درسالهاي </a:t>
            </a:r>
            <a:r>
              <a:rPr lang="en-US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1397</a:t>
            </a: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- </a:t>
            </a:r>
            <a:r>
              <a:rPr lang="en-US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1396</a:t>
            </a:r>
            <a:endParaRPr lang="fa-IR" sz="1100" b="1" i="0" u="none" strike="noStrike" baseline="0">
              <a:solidFill>
                <a:srgbClr val="000099"/>
              </a:solidFill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21028106833004667"/>
          <c:y val="1.90489894346962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55107387775462"/>
          <c:y val="0.11168033683289591"/>
          <c:w val="0.8701933306294084"/>
          <c:h val="0.76212434383202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'33'!$Q$24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'[4]35'!$P$25:$P$33</c:f>
              <c:strCache>
                <c:ptCount val="9"/>
                <c:pt idx="0">
                  <c:v>بندرامام</c:v>
                </c:pt>
                <c:pt idx="1">
                  <c:v>ماهشهر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ميرجاوه</c:v>
                </c:pt>
                <c:pt idx="7">
                  <c:v>بندراميرآباد</c:v>
                </c:pt>
                <c:pt idx="8">
                  <c:v>خرمشهر</c:v>
                </c:pt>
              </c:strCache>
            </c:strRef>
          </c:cat>
          <c:val>
            <c:numRef>
              <c:f>'[4]35'!$Q$25:$Q$33</c:f>
              <c:numCache>
                <c:formatCode>General</c:formatCode>
                <c:ptCount val="9"/>
                <c:pt idx="0">
                  <c:v>1378812</c:v>
                </c:pt>
                <c:pt idx="1">
                  <c:v>1158270</c:v>
                </c:pt>
                <c:pt idx="2">
                  <c:v>21275</c:v>
                </c:pt>
                <c:pt idx="3">
                  <c:v>7926245</c:v>
                </c:pt>
                <c:pt idx="4">
                  <c:v>538682</c:v>
                </c:pt>
                <c:pt idx="5">
                  <c:v>54790</c:v>
                </c:pt>
                <c:pt idx="6">
                  <c:v>17207</c:v>
                </c:pt>
                <c:pt idx="7">
                  <c:v>0</c:v>
                </c:pt>
                <c:pt idx="8">
                  <c:v>2976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3-4D12-BAA9-8EE4BAE8AA9A}"/>
            </c:ext>
          </c:extLst>
        </c:ser>
        <c:ser>
          <c:idx val="1"/>
          <c:order val="1"/>
          <c:tx>
            <c:strRef>
              <c:f>'33'!$R$24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75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'[4]35'!$P$25:$P$33</c:f>
              <c:strCache>
                <c:ptCount val="9"/>
                <c:pt idx="0">
                  <c:v>بندرامام</c:v>
                </c:pt>
                <c:pt idx="1">
                  <c:v>ماهشهر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ميرجاوه</c:v>
                </c:pt>
                <c:pt idx="7">
                  <c:v>بندراميرآباد</c:v>
                </c:pt>
                <c:pt idx="8">
                  <c:v>خرمشهر</c:v>
                </c:pt>
              </c:strCache>
            </c:strRef>
          </c:cat>
          <c:val>
            <c:numRef>
              <c:f>'[4]35'!$R$25:$R$33</c:f>
              <c:numCache>
                <c:formatCode>General</c:formatCode>
                <c:ptCount val="9"/>
                <c:pt idx="0">
                  <c:v>2290321</c:v>
                </c:pt>
                <c:pt idx="1">
                  <c:v>998617</c:v>
                </c:pt>
                <c:pt idx="2">
                  <c:v>17479</c:v>
                </c:pt>
                <c:pt idx="3">
                  <c:v>8245053</c:v>
                </c:pt>
                <c:pt idx="4">
                  <c:v>386473</c:v>
                </c:pt>
                <c:pt idx="5">
                  <c:v>24889</c:v>
                </c:pt>
                <c:pt idx="6">
                  <c:v>33216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A3-4D12-BAA9-8EE4BAE8A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714871216"/>
        <c:axId val="-1714884816"/>
      </c:barChart>
      <c:catAx>
        <c:axId val="-171487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14884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714884816"/>
        <c:scaling>
          <c:orientation val="minMax"/>
          <c:max val="1000000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14871216"/>
        <c:crosses val="autoZero"/>
        <c:crossBetween val="between"/>
        <c:majorUnit val="2000000"/>
        <c:minorUnit val="100000"/>
        <c:dispUnits>
          <c:builtInUnit val="millions"/>
          <c:dispUnitsLbl>
            <c:layout>
              <c:manualLayout>
                <c:xMode val="edge"/>
                <c:yMode val="edge"/>
                <c:x val="1.2510221302266169E-2"/>
                <c:y val="0.14412128171478567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900" b="1" i="0" u="none" strike="noStrike" baseline="0">
                      <a:solidFill>
                        <a:srgbClr val="333399"/>
                      </a:solidFill>
                      <a:latin typeface="B Mitra"/>
                      <a:ea typeface="B Mitra"/>
                      <a:cs typeface="B Mitra"/>
                    </a:defRPr>
                  </a:pPr>
                  <a:r>
                    <a:rPr lang="fa-IR"/>
                    <a:t>ميليون تن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434814431499792"/>
          <c:y val="0.309778701520178"/>
          <c:w val="0.10546612401691347"/>
          <c:h val="0.165135030709993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نمودار شماره 5 - تن كيلومتر بار وارده راه آهن درسالهاي </a:t>
            </a:r>
            <a:r>
              <a:rPr lang="en-US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1397</a:t>
            </a: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- </a:t>
            </a:r>
            <a:r>
              <a:rPr lang="en-US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1396</a:t>
            </a:r>
            <a:endParaRPr lang="fa-IR" sz="1100" b="1" i="0" u="none" strike="noStrike" baseline="0">
              <a:solidFill>
                <a:srgbClr val="000099"/>
              </a:solidFill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17847731799482511"/>
          <c:y val="1.8315983229369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74538820945255"/>
          <c:y val="0.11551256092988377"/>
          <c:w val="0.86072820684648466"/>
          <c:h val="0.758127688584381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'33'!$V$24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'[4]35'!$U$25:$U$33</c:f>
              <c:strCache>
                <c:ptCount val="9"/>
                <c:pt idx="0">
                  <c:v>بندرامام</c:v>
                </c:pt>
                <c:pt idx="1">
                  <c:v>سربندر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میرجاوه</c:v>
                </c:pt>
                <c:pt idx="7">
                  <c:v>بندراميرآباد</c:v>
                </c:pt>
                <c:pt idx="8">
                  <c:v>خرمشهر</c:v>
                </c:pt>
              </c:strCache>
            </c:strRef>
          </c:cat>
          <c:val>
            <c:numRef>
              <c:f>'[4]35'!$V$25:$V$33</c:f>
              <c:numCache>
                <c:formatCode>General</c:formatCode>
                <c:ptCount val="9"/>
                <c:pt idx="0">
                  <c:v>1009453331</c:v>
                </c:pt>
                <c:pt idx="1">
                  <c:v>1291241</c:v>
                </c:pt>
                <c:pt idx="2">
                  <c:v>8335366</c:v>
                </c:pt>
                <c:pt idx="3">
                  <c:v>896582647</c:v>
                </c:pt>
                <c:pt idx="4">
                  <c:v>69905678</c:v>
                </c:pt>
                <c:pt idx="5">
                  <c:v>67674544</c:v>
                </c:pt>
                <c:pt idx="6">
                  <c:v>1199700</c:v>
                </c:pt>
                <c:pt idx="7">
                  <c:v>7811012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F2-47BC-A768-344C1F2D0A44}"/>
            </c:ext>
          </c:extLst>
        </c:ser>
        <c:ser>
          <c:idx val="1"/>
          <c:order val="1"/>
          <c:tx>
            <c:strRef>
              <c:f>'33'!$W$24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75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'[4]35'!$U$25:$U$33</c:f>
              <c:strCache>
                <c:ptCount val="9"/>
                <c:pt idx="0">
                  <c:v>بندرامام</c:v>
                </c:pt>
                <c:pt idx="1">
                  <c:v>سربندر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میرجاوه</c:v>
                </c:pt>
                <c:pt idx="7">
                  <c:v>بندراميرآباد</c:v>
                </c:pt>
                <c:pt idx="8">
                  <c:v>خرمشهر</c:v>
                </c:pt>
              </c:strCache>
            </c:strRef>
          </c:cat>
          <c:val>
            <c:numRef>
              <c:f>'[4]35'!$W$25:$W$33</c:f>
              <c:numCache>
                <c:formatCode>General</c:formatCode>
                <c:ptCount val="9"/>
                <c:pt idx="0">
                  <c:v>1181220255</c:v>
                </c:pt>
                <c:pt idx="1">
                  <c:v>0</c:v>
                </c:pt>
                <c:pt idx="2">
                  <c:v>16052101</c:v>
                </c:pt>
                <c:pt idx="3">
                  <c:v>1109398926</c:v>
                </c:pt>
                <c:pt idx="4">
                  <c:v>63580935</c:v>
                </c:pt>
                <c:pt idx="5">
                  <c:v>123941037</c:v>
                </c:pt>
                <c:pt idx="6">
                  <c:v>1376250</c:v>
                </c:pt>
                <c:pt idx="7">
                  <c:v>7879420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F2-47BC-A768-344C1F2D0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714859792"/>
        <c:axId val="-1714859248"/>
      </c:barChart>
      <c:catAx>
        <c:axId val="-171485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14859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714859248"/>
        <c:scaling>
          <c:orientation val="minMax"/>
          <c:max val="150000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0;[Red]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14859792"/>
        <c:crosses val="autoZero"/>
        <c:crossBetween val="between"/>
        <c:majorUnit val="300000000"/>
        <c:dispUnits>
          <c:builtInUnit val="millions"/>
          <c:dispUnitsLbl>
            <c:layout>
              <c:manualLayout>
                <c:xMode val="edge"/>
                <c:yMode val="edge"/>
                <c:x val="5.3932354200405784E-3"/>
                <c:y val="0.12911886014248217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850" b="1" i="0" u="none" strike="noStrike" baseline="0">
                      <a:solidFill>
                        <a:srgbClr val="333399"/>
                      </a:solidFill>
                      <a:latin typeface="B Mitra"/>
                      <a:ea typeface="B Mitra"/>
                      <a:cs typeface="B Nazanin" panose="00000400000000000000" pitchFamily="2" charset="-78"/>
                    </a:defRPr>
                  </a:pPr>
                  <a:r>
                    <a:rPr lang="fa-IR">
                      <a:cs typeface="B Nazanin" panose="00000400000000000000" pitchFamily="2" charset="-78"/>
                    </a:rPr>
                    <a:t>ميليون تن كيلومتر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537368999087869"/>
          <c:y val="0.33034325254797697"/>
          <c:w val="0.12199102771727999"/>
          <c:h val="0.170700207928554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نمودار شماره 6 - تن كيلومتر بار صادره راه آهن درسالهاي </a:t>
            </a:r>
            <a:r>
              <a:rPr lang="en-US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1397</a:t>
            </a: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- </a:t>
            </a:r>
            <a:r>
              <a:rPr lang="en-US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1396</a:t>
            </a:r>
            <a:endParaRPr lang="fa-IR" sz="1100" b="1" i="0" u="none" strike="noStrike" baseline="0">
              <a:solidFill>
                <a:srgbClr val="000099"/>
              </a:solidFill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16953468316460443"/>
          <c:y val="4.2953612521672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38728323699421"/>
          <c:y val="0.14201270533089366"/>
          <c:w val="0.8477842003853564"/>
          <c:h val="0.71004214551510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'33'!$AA$24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'[4]35'!$Z$25:$Z$33</c:f>
              <c:strCache>
                <c:ptCount val="9"/>
                <c:pt idx="0">
                  <c:v>بندرامام</c:v>
                </c:pt>
                <c:pt idx="1">
                  <c:v>ماهشهر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ميرجاوه</c:v>
                </c:pt>
                <c:pt idx="7">
                  <c:v>بندراميرآباد</c:v>
                </c:pt>
                <c:pt idx="8">
                  <c:v>خرمشهر</c:v>
                </c:pt>
              </c:strCache>
            </c:strRef>
          </c:cat>
          <c:val>
            <c:numRef>
              <c:f>'[4]35'!$AA$25:$AA$33</c:f>
              <c:numCache>
                <c:formatCode>General</c:formatCode>
                <c:ptCount val="9"/>
                <c:pt idx="0">
                  <c:v>329465825</c:v>
                </c:pt>
                <c:pt idx="1">
                  <c:v>796317496</c:v>
                </c:pt>
                <c:pt idx="2">
                  <c:v>3191250</c:v>
                </c:pt>
                <c:pt idx="3">
                  <c:v>6857984243</c:v>
                </c:pt>
                <c:pt idx="4">
                  <c:v>222847772</c:v>
                </c:pt>
                <c:pt idx="5">
                  <c:v>14587548</c:v>
                </c:pt>
                <c:pt idx="6">
                  <c:v>2581050</c:v>
                </c:pt>
                <c:pt idx="7">
                  <c:v>0</c:v>
                </c:pt>
                <c:pt idx="8">
                  <c:v>4494125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76-4AF1-8F31-D5E6F20E45D1}"/>
            </c:ext>
          </c:extLst>
        </c:ser>
        <c:ser>
          <c:idx val="1"/>
          <c:order val="1"/>
          <c:tx>
            <c:strRef>
              <c:f>'33'!$AB$24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75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'[4]35'!$Z$25:$Z$33</c:f>
              <c:strCache>
                <c:ptCount val="9"/>
                <c:pt idx="0">
                  <c:v>بندرامام</c:v>
                </c:pt>
                <c:pt idx="1">
                  <c:v>ماهشهر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ميرجاوه</c:v>
                </c:pt>
                <c:pt idx="7">
                  <c:v>بندراميرآباد</c:v>
                </c:pt>
                <c:pt idx="8">
                  <c:v>خرمشهر</c:v>
                </c:pt>
              </c:strCache>
            </c:strRef>
          </c:cat>
          <c:val>
            <c:numRef>
              <c:f>'[4]35'!$AB$25:$AB$33</c:f>
              <c:numCache>
                <c:formatCode>General</c:formatCode>
                <c:ptCount val="9"/>
                <c:pt idx="0">
                  <c:v>461165789</c:v>
                </c:pt>
                <c:pt idx="1">
                  <c:v>687871994</c:v>
                </c:pt>
                <c:pt idx="2">
                  <c:v>2621850</c:v>
                </c:pt>
                <c:pt idx="3">
                  <c:v>7748074102</c:v>
                </c:pt>
                <c:pt idx="4">
                  <c:v>176056734</c:v>
                </c:pt>
                <c:pt idx="5">
                  <c:v>5627666</c:v>
                </c:pt>
                <c:pt idx="6">
                  <c:v>4982400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76-4AF1-8F31-D5E6F20E4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714883184"/>
        <c:axId val="-1714882096"/>
      </c:barChart>
      <c:catAx>
        <c:axId val="-171488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14882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714882096"/>
        <c:scaling>
          <c:orientation val="minMax"/>
          <c:max val="800000000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148831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121457489878543E-2"/>
                <c:y val="0.12814645308924486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900" b="1" i="0" u="none" strike="noStrike" baseline="0">
                      <a:solidFill>
                        <a:srgbClr val="333399"/>
                      </a:solidFill>
                      <a:latin typeface="B Mitra"/>
                      <a:ea typeface="B Mitra"/>
                      <a:cs typeface="B Nazanin" panose="00000400000000000000" pitchFamily="2" charset="-78"/>
                    </a:defRPr>
                  </a:pPr>
                  <a:r>
                    <a:rPr lang="fa-IR">
                      <a:cs typeface="B Nazanin" panose="00000400000000000000" pitchFamily="2" charset="-78"/>
                    </a:rPr>
                    <a:t>ميليون تن كيلومتر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077315335583044"/>
          <c:y val="0.30714801641961853"/>
          <c:w val="0.11753730783652039"/>
          <c:h val="0.175347820425841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 horizontalDpi="0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نمودار شماره 1 - تعداد واگن هاي وارده راه آهن درسالهاي 1403 - 1402</a:t>
            </a:r>
          </a:p>
        </c:rich>
      </c:tx>
      <c:layout>
        <c:manualLayout>
          <c:xMode val="edge"/>
          <c:yMode val="edge"/>
          <c:x val="0.17163924472127551"/>
          <c:y val="2.01879689281264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16488424021625"/>
          <c:y val="0.12147172512526844"/>
          <c:w val="0.85633035609354802"/>
          <c:h val="0.73138930360977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'33'!$B$24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'33'!$A$25:$A$33</c:f>
              <c:strCache>
                <c:ptCount val="9"/>
                <c:pt idx="0">
                  <c:v>بندرامام</c:v>
                </c:pt>
                <c:pt idx="1">
                  <c:v>اینچه برون</c:v>
                </c:pt>
                <c:pt idx="2">
                  <c:v>بندرعباس</c:v>
                </c:pt>
                <c:pt idx="3">
                  <c:v>سرخس</c:v>
                </c:pt>
                <c:pt idx="4">
                  <c:v>رازي</c:v>
                </c:pt>
                <c:pt idx="5">
                  <c:v>میرجاوه</c:v>
                </c:pt>
                <c:pt idx="6">
                  <c:v>بندرامیرآباد</c:v>
                </c:pt>
                <c:pt idx="7">
                  <c:v>آستارا</c:v>
                </c:pt>
                <c:pt idx="8">
                  <c:v>خرمشهر</c:v>
                </c:pt>
              </c:strCache>
            </c:strRef>
          </c:cat>
          <c:val>
            <c:numRef>
              <c:f>'33'!$B$25:$B$33</c:f>
              <c:numCache>
                <c:formatCode>0</c:formatCode>
                <c:ptCount val="9"/>
                <c:pt idx="0">
                  <c:v>0</c:v>
                </c:pt>
                <c:pt idx="1">
                  <c:v>395</c:v>
                </c:pt>
                <c:pt idx="2">
                  <c:v>1</c:v>
                </c:pt>
                <c:pt idx="3">
                  <c:v>1435</c:v>
                </c:pt>
                <c:pt idx="4">
                  <c:v>3884</c:v>
                </c:pt>
                <c:pt idx="5">
                  <c:v>38</c:v>
                </c:pt>
                <c:pt idx="6">
                  <c:v>0</c:v>
                </c:pt>
                <c:pt idx="7">
                  <c:v>3953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A4-4CA0-B580-FD5B43D3CA83}"/>
            </c:ext>
          </c:extLst>
        </c:ser>
        <c:ser>
          <c:idx val="1"/>
          <c:order val="1"/>
          <c:tx>
            <c:strRef>
              <c:f>'33'!$C$24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75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'33'!$A$25:$A$33</c:f>
              <c:strCache>
                <c:ptCount val="9"/>
                <c:pt idx="0">
                  <c:v>بندرامام</c:v>
                </c:pt>
                <c:pt idx="1">
                  <c:v>اینچه برون</c:v>
                </c:pt>
                <c:pt idx="2">
                  <c:v>بندرعباس</c:v>
                </c:pt>
                <c:pt idx="3">
                  <c:v>سرخس</c:v>
                </c:pt>
                <c:pt idx="4">
                  <c:v>رازي</c:v>
                </c:pt>
                <c:pt idx="5">
                  <c:v>میرجاوه</c:v>
                </c:pt>
                <c:pt idx="6">
                  <c:v>بندرامیرآباد</c:v>
                </c:pt>
                <c:pt idx="7">
                  <c:v>آستارا</c:v>
                </c:pt>
                <c:pt idx="8">
                  <c:v>خرمشهر</c:v>
                </c:pt>
              </c:strCache>
            </c:strRef>
          </c:cat>
          <c:val>
            <c:numRef>
              <c:f>'33'!$C$25:$C$33</c:f>
              <c:numCache>
                <c:formatCode>0</c:formatCode>
                <c:ptCount val="9"/>
                <c:pt idx="0">
                  <c:v>0</c:v>
                </c:pt>
                <c:pt idx="1">
                  <c:v>189</c:v>
                </c:pt>
                <c:pt idx="2">
                  <c:v>0</c:v>
                </c:pt>
                <c:pt idx="3">
                  <c:v>1129</c:v>
                </c:pt>
                <c:pt idx="4">
                  <c:v>4552</c:v>
                </c:pt>
                <c:pt idx="5">
                  <c:v>71</c:v>
                </c:pt>
                <c:pt idx="6">
                  <c:v>0</c:v>
                </c:pt>
                <c:pt idx="7">
                  <c:v>5125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A4-4CA0-B580-FD5B43D3C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714877744"/>
        <c:axId val="-1714867408"/>
      </c:barChart>
      <c:catAx>
        <c:axId val="-171487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14867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714867408"/>
        <c:scaling>
          <c:orientation val="minMax"/>
          <c:max val="4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148777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0141997874538336E-2"/>
                <c:y val="0.10478371563536139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1000" b="1" i="0" u="none" strike="noStrike" baseline="0">
                      <a:solidFill>
                        <a:srgbClr val="333399"/>
                      </a:solidFill>
                      <a:latin typeface="B Mitra"/>
                      <a:ea typeface="B Mitra"/>
                      <a:cs typeface="B Nazanin" panose="00000400000000000000" pitchFamily="2" charset="-78"/>
                    </a:defRPr>
                  </a:pPr>
                  <a:r>
                    <a:rPr lang="fa-IR">
                      <a:cs typeface="B Nazanin" panose="00000400000000000000" pitchFamily="2" charset="-78"/>
                    </a:rPr>
                    <a:t>هزارواگن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641791044776115"/>
          <c:y val="0.34090909090909088"/>
          <c:w val="0.125"/>
          <c:h val="0.146464646464646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0.98425196850393704" l="2.3228346456692917" r="1.5354330708661419" t="0.98425196850393704" header="0.51181102362204722" footer="0.51181102362204722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نمودار شماره 2 - تعداد واگن هاي صادره درسالهاي 1403    - 1402</a:t>
            </a:r>
          </a:p>
        </c:rich>
      </c:tx>
      <c:layout>
        <c:manualLayout>
          <c:xMode val="edge"/>
          <c:yMode val="edge"/>
          <c:x val="0.23898689493081657"/>
          <c:y val="1.20516407530277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76595744680851"/>
          <c:y val="0.12218605406282977"/>
          <c:w val="0.86382978723404258"/>
          <c:h val="0.734048759368996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'33'!$G$24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'33'!$F$25:$F$36</c:f>
              <c:strCache>
                <c:ptCount val="12"/>
                <c:pt idx="0">
                  <c:v>بندرامام</c:v>
                </c:pt>
                <c:pt idx="1">
                  <c:v>ماهشهر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ميرجاوه</c:v>
                </c:pt>
                <c:pt idx="7">
                  <c:v>بندرامیرآباد</c:v>
                </c:pt>
                <c:pt idx="8">
                  <c:v>شلمچه</c:v>
                </c:pt>
                <c:pt idx="9">
                  <c:v>آستارا</c:v>
                </c:pt>
                <c:pt idx="10">
                  <c:v>شمتیغ</c:v>
                </c:pt>
                <c:pt idx="11">
                  <c:v>سایر</c:v>
                </c:pt>
              </c:strCache>
            </c:strRef>
          </c:cat>
          <c:val>
            <c:numRef>
              <c:f>'33'!$G$25:$G$36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6287</c:v>
                </c:pt>
                <c:pt idx="3">
                  <c:v>25</c:v>
                </c:pt>
                <c:pt idx="4">
                  <c:v>16428</c:v>
                </c:pt>
                <c:pt idx="5">
                  <c:v>4068</c:v>
                </c:pt>
                <c:pt idx="6">
                  <c:v>1290</c:v>
                </c:pt>
                <c:pt idx="7">
                  <c:v>0</c:v>
                </c:pt>
                <c:pt idx="8">
                  <c:v>0</c:v>
                </c:pt>
                <c:pt idx="9">
                  <c:v>3469</c:v>
                </c:pt>
                <c:pt idx="10">
                  <c:v>160</c:v>
                </c:pt>
                <c:pt idx="1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55-49A3-B917-434CCDD36F51}"/>
            </c:ext>
          </c:extLst>
        </c:ser>
        <c:ser>
          <c:idx val="1"/>
          <c:order val="1"/>
          <c:tx>
            <c:strRef>
              <c:f>'33'!$H$24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80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'33'!$F$25:$F$36</c:f>
              <c:strCache>
                <c:ptCount val="12"/>
                <c:pt idx="0">
                  <c:v>بندرامام</c:v>
                </c:pt>
                <c:pt idx="1">
                  <c:v>ماهشهر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ميرجاوه</c:v>
                </c:pt>
                <c:pt idx="7">
                  <c:v>بندرامیرآباد</c:v>
                </c:pt>
                <c:pt idx="8">
                  <c:v>شلمچه</c:v>
                </c:pt>
                <c:pt idx="9">
                  <c:v>آستارا</c:v>
                </c:pt>
                <c:pt idx="10">
                  <c:v>شمتیغ</c:v>
                </c:pt>
                <c:pt idx="11">
                  <c:v>سایر</c:v>
                </c:pt>
              </c:strCache>
            </c:strRef>
          </c:cat>
          <c:val>
            <c:numRef>
              <c:f>'33'!$H$25:$H$36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7049</c:v>
                </c:pt>
                <c:pt idx="3">
                  <c:v>57</c:v>
                </c:pt>
                <c:pt idx="4">
                  <c:v>17117</c:v>
                </c:pt>
                <c:pt idx="5">
                  <c:v>8809</c:v>
                </c:pt>
                <c:pt idx="6">
                  <c:v>901</c:v>
                </c:pt>
                <c:pt idx="7">
                  <c:v>0</c:v>
                </c:pt>
                <c:pt idx="8">
                  <c:v>0</c:v>
                </c:pt>
                <c:pt idx="9">
                  <c:v>3119</c:v>
                </c:pt>
                <c:pt idx="10">
                  <c:v>731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55-49A3-B917-434CCDD36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714866864"/>
        <c:axId val="-1714878288"/>
      </c:barChart>
      <c:catAx>
        <c:axId val="-171486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14878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714878288"/>
        <c:scaling>
          <c:orientation val="minMax"/>
          <c:max val="10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14866864"/>
        <c:crosses val="autoZero"/>
        <c:crossBetween val="between"/>
        <c:majorUnit val="20000"/>
        <c:dispUnits>
          <c:builtInUnit val="thousands"/>
          <c:dispUnitsLbl>
            <c:layout>
              <c:manualLayout>
                <c:xMode val="edge"/>
                <c:yMode val="edge"/>
                <c:x val="3.8465404590383602E-4"/>
                <c:y val="8.286254629130263E-2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1000" b="1" i="0" u="none" strike="noStrike" baseline="0">
                      <a:solidFill>
                        <a:srgbClr val="333399"/>
                      </a:solidFill>
                      <a:latin typeface="B Mitra"/>
                      <a:ea typeface="B Mitra"/>
                      <a:cs typeface="B Nazanin" panose="00000400000000000000" pitchFamily="2" charset="-78"/>
                    </a:defRPr>
                  </a:pPr>
                  <a:r>
                    <a:rPr lang="fa-IR">
                      <a:cs typeface="B Nazanin" panose="00000400000000000000" pitchFamily="2" charset="-78"/>
                    </a:rPr>
                    <a:t>هزارواگن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944250871080136"/>
          <c:y val="0.30710659898477155"/>
          <c:w val="0.12020905923344949"/>
          <c:h val="0.152284263959390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 horizontalDpi="0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نمودار شماره 3 - تناژ بار وارده راه آهن درسالهاي 1403 - 1402 </a:t>
            </a:r>
          </a:p>
        </c:rich>
      </c:tx>
      <c:layout>
        <c:manualLayout>
          <c:xMode val="edge"/>
          <c:yMode val="edge"/>
          <c:x val="0.18246193286662066"/>
          <c:y val="2.51763326538497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316106282779052E-2"/>
          <c:y val="0.12342219912866222"/>
          <c:w val="0.88008169819559678"/>
          <c:h val="0.711662726535238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'33'!$L$24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'33'!$K$25:$K$33</c:f>
              <c:strCache>
                <c:ptCount val="9"/>
                <c:pt idx="0">
                  <c:v>بندرامام</c:v>
                </c:pt>
                <c:pt idx="1">
                  <c:v>اینچه برون</c:v>
                </c:pt>
                <c:pt idx="2">
                  <c:v>بندرعباس</c:v>
                </c:pt>
                <c:pt idx="3">
                  <c:v>سرخس</c:v>
                </c:pt>
                <c:pt idx="4">
                  <c:v>رازي</c:v>
                </c:pt>
                <c:pt idx="5">
                  <c:v>میرجاوه</c:v>
                </c:pt>
                <c:pt idx="6">
                  <c:v>بندر امیرآباد</c:v>
                </c:pt>
                <c:pt idx="7">
                  <c:v>آستارا</c:v>
                </c:pt>
                <c:pt idx="8">
                  <c:v>خرمشهر</c:v>
                </c:pt>
              </c:strCache>
            </c:strRef>
          </c:cat>
          <c:val>
            <c:numRef>
              <c:f>'33'!$L$25:$L$33</c:f>
              <c:numCache>
                <c:formatCode>#,##0</c:formatCode>
                <c:ptCount val="9"/>
                <c:pt idx="0">
                  <c:v>0</c:v>
                </c:pt>
                <c:pt idx="1">
                  <c:v>21370</c:v>
                </c:pt>
                <c:pt idx="2">
                  <c:v>55</c:v>
                </c:pt>
                <c:pt idx="3">
                  <c:v>87740</c:v>
                </c:pt>
                <c:pt idx="4">
                  <c:v>157321</c:v>
                </c:pt>
                <c:pt idx="5">
                  <c:v>874</c:v>
                </c:pt>
                <c:pt idx="6">
                  <c:v>0</c:v>
                </c:pt>
                <c:pt idx="7">
                  <c:v>231925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D-4C1A-9EF9-4C7BB7FD4F47}"/>
            </c:ext>
          </c:extLst>
        </c:ser>
        <c:ser>
          <c:idx val="1"/>
          <c:order val="1"/>
          <c:tx>
            <c:strRef>
              <c:f>'33'!$M$24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75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'33'!$K$25:$K$33</c:f>
              <c:strCache>
                <c:ptCount val="9"/>
                <c:pt idx="0">
                  <c:v>بندرامام</c:v>
                </c:pt>
                <c:pt idx="1">
                  <c:v>اینچه برون</c:v>
                </c:pt>
                <c:pt idx="2">
                  <c:v>بندرعباس</c:v>
                </c:pt>
                <c:pt idx="3">
                  <c:v>سرخس</c:v>
                </c:pt>
                <c:pt idx="4">
                  <c:v>رازي</c:v>
                </c:pt>
                <c:pt idx="5">
                  <c:v>میرجاوه</c:v>
                </c:pt>
                <c:pt idx="6">
                  <c:v>بندر امیرآباد</c:v>
                </c:pt>
                <c:pt idx="7">
                  <c:v>آستارا</c:v>
                </c:pt>
                <c:pt idx="8">
                  <c:v>خرمشهر</c:v>
                </c:pt>
              </c:strCache>
            </c:strRef>
          </c:cat>
          <c:val>
            <c:numRef>
              <c:f>'33'!$M$25:$M$33</c:f>
              <c:numCache>
                <c:formatCode>#,##0</c:formatCode>
                <c:ptCount val="9"/>
                <c:pt idx="0">
                  <c:v>0</c:v>
                </c:pt>
                <c:pt idx="1">
                  <c:v>11780</c:v>
                </c:pt>
                <c:pt idx="3">
                  <c:v>67470</c:v>
                </c:pt>
                <c:pt idx="4">
                  <c:v>180722</c:v>
                </c:pt>
                <c:pt idx="5">
                  <c:v>1633</c:v>
                </c:pt>
                <c:pt idx="6">
                  <c:v>0</c:v>
                </c:pt>
                <c:pt idx="7">
                  <c:v>280390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2D-4C1A-9EF9-4C7BB7FD4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691634416"/>
        <c:axId val="-1691628976"/>
      </c:barChart>
      <c:catAx>
        <c:axId val="-169163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6916289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1628976"/>
        <c:scaling>
          <c:orientation val="minMax"/>
          <c:max val="240000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691634416"/>
        <c:crosses val="autoZero"/>
        <c:crossBetween val="between"/>
        <c:majorUnit val="400000"/>
        <c:minorUnit val="100000"/>
        <c:dispUnits>
          <c:builtInUnit val="millions"/>
          <c:dispUnitsLbl>
            <c:layout>
              <c:manualLayout>
                <c:xMode val="edge"/>
                <c:yMode val="edge"/>
                <c:x val="6.0118603242573134E-4"/>
                <c:y val="0.22999533687730656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975" b="1" i="0" u="none" strike="noStrike" baseline="0">
                      <a:solidFill>
                        <a:srgbClr val="333399"/>
                      </a:solidFill>
                      <a:latin typeface="B Mitra"/>
                      <a:ea typeface="B Mitra"/>
                      <a:cs typeface="B Nazanin" panose="00000400000000000000" pitchFamily="2" charset="-78"/>
                    </a:defRPr>
                  </a:pPr>
                  <a:r>
                    <a:rPr lang="fa-IR">
                      <a:cs typeface="B Nazanin" panose="00000400000000000000" pitchFamily="2" charset="-78"/>
                    </a:rPr>
                    <a:t>ميليون تن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46246813066077"/>
          <c:y val="0.31038091050801392"/>
          <c:w val="0.11221369242977008"/>
          <c:h val="0.154567062365935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99"/>
                </a:solidFill>
                <a:latin typeface="B Roya"/>
                <a:ea typeface="B Roya"/>
                <a:cs typeface="B Roya"/>
              </a:defRPr>
            </a:pPr>
            <a:r>
              <a:rPr lang="fa-IR" sz="900">
                <a:solidFill>
                  <a:srgbClr val="000099"/>
                </a:solidFill>
              </a:rPr>
              <a:t>الف - طول خطوط اصلي </a:t>
            </a:r>
          </a:p>
        </c:rich>
      </c:tx>
      <c:layout>
        <c:manualLayout>
          <c:xMode val="edge"/>
          <c:yMode val="edge"/>
          <c:x val="0.37318952494282265"/>
          <c:y val="2.747269494538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85052002189565"/>
          <c:y val="0.14561603850151641"/>
          <c:w val="0.83791755442334415"/>
          <c:h val="0.699925104298671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33CC33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'18'!$E$2:$N$2</c:f>
              <c:numCache>
                <c:formatCode>General</c:formatCode>
                <c:ptCount val="10"/>
                <c:pt idx="0">
                  <c:v>1394</c:v>
                </c:pt>
                <c:pt idx="1">
                  <c:v>1395</c:v>
                </c:pt>
                <c:pt idx="2">
                  <c:v>1396</c:v>
                </c:pt>
                <c:pt idx="3">
                  <c:v>1397</c:v>
                </c:pt>
                <c:pt idx="4">
                  <c:v>1398</c:v>
                </c:pt>
                <c:pt idx="5">
                  <c:v>1399</c:v>
                </c:pt>
                <c:pt idx="6">
                  <c:v>1400</c:v>
                </c:pt>
                <c:pt idx="7">
                  <c:v>1401</c:v>
                </c:pt>
                <c:pt idx="8">
                  <c:v>1402</c:v>
                </c:pt>
                <c:pt idx="9">
                  <c:v>1403</c:v>
                </c:pt>
              </c:numCache>
            </c:numRef>
          </c:cat>
          <c:val>
            <c:numRef>
              <c:f>'18'!$E$3:$N$3</c:f>
              <c:numCache>
                <c:formatCode>#,##0</c:formatCode>
                <c:ptCount val="10"/>
                <c:pt idx="0">
                  <c:v>10459</c:v>
                </c:pt>
                <c:pt idx="1">
                  <c:v>10475</c:v>
                </c:pt>
                <c:pt idx="2">
                  <c:v>11061</c:v>
                </c:pt>
                <c:pt idx="3">
                  <c:v>11461</c:v>
                </c:pt>
                <c:pt idx="4">
                  <c:v>11659</c:v>
                </c:pt>
                <c:pt idx="5">
                  <c:v>11728</c:v>
                </c:pt>
                <c:pt idx="6">
                  <c:v>11798</c:v>
                </c:pt>
                <c:pt idx="7">
                  <c:v>11928.5</c:v>
                </c:pt>
                <c:pt idx="8">
                  <c:v>12303</c:v>
                </c:pt>
                <c:pt idx="9">
                  <c:v>12454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0D-4663-AF1E-1C596688B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8832256"/>
        <c:axId val="-1538834976"/>
      </c:lineChart>
      <c:catAx>
        <c:axId val="-153883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34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38834976"/>
        <c:scaling>
          <c:orientation val="minMax"/>
          <c:max val="14500"/>
          <c:min val="55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3225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8116006128305197E-2"/>
                <c:y val="0.17582417582417584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550" b="1" i="0" u="none" strike="noStrike" baseline="0">
                      <a:solidFill>
                        <a:srgbClr val="FF0000"/>
                      </a:solidFill>
                      <a:latin typeface="B Roya"/>
                      <a:ea typeface="B Roya"/>
                      <a:cs typeface="B Roya"/>
                    </a:defRPr>
                  </a:pPr>
                  <a:r>
                    <a:rPr lang="fa-IR"/>
                    <a:t>هزاركيلومتر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نمودار شماره 4 - تناژ بار صادره راه آهن درسالهاي 1403 - 1402</a:t>
            </a:r>
          </a:p>
        </c:rich>
      </c:tx>
      <c:layout>
        <c:manualLayout>
          <c:xMode val="edge"/>
          <c:yMode val="edge"/>
          <c:x val="0.21028106833004667"/>
          <c:y val="1.90489894346962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55107387775462"/>
          <c:y val="0.11168033683289591"/>
          <c:w val="0.8701933306294084"/>
          <c:h val="0.76212434383202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'33'!$Q$24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'33'!$P$25:$P$36</c:f>
              <c:strCache>
                <c:ptCount val="12"/>
                <c:pt idx="0">
                  <c:v>بندرامام</c:v>
                </c:pt>
                <c:pt idx="1">
                  <c:v>ماهشهر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ميرجاوه</c:v>
                </c:pt>
                <c:pt idx="7">
                  <c:v>بندراميرآباد</c:v>
                </c:pt>
                <c:pt idx="8">
                  <c:v>شلمچه</c:v>
                </c:pt>
                <c:pt idx="9">
                  <c:v>آستارا</c:v>
                </c:pt>
                <c:pt idx="10">
                  <c:v>شمتیغ</c:v>
                </c:pt>
                <c:pt idx="11">
                  <c:v>سایر</c:v>
                </c:pt>
              </c:strCache>
            </c:strRef>
          </c:cat>
          <c:val>
            <c:numRef>
              <c:f>'33'!$Q$25:$Q$36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395627</c:v>
                </c:pt>
                <c:pt idx="3">
                  <c:v>176</c:v>
                </c:pt>
                <c:pt idx="4">
                  <c:v>1044376</c:v>
                </c:pt>
                <c:pt idx="5">
                  <c:v>176437</c:v>
                </c:pt>
                <c:pt idx="6">
                  <c:v>29822</c:v>
                </c:pt>
                <c:pt idx="7">
                  <c:v>0</c:v>
                </c:pt>
                <c:pt idx="8">
                  <c:v>0</c:v>
                </c:pt>
                <c:pt idx="9">
                  <c:v>183589</c:v>
                </c:pt>
                <c:pt idx="10">
                  <c:v>9757</c:v>
                </c:pt>
                <c:pt idx="11">
                  <c:v>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18-4322-89E3-5AC81BE209EC}"/>
            </c:ext>
          </c:extLst>
        </c:ser>
        <c:ser>
          <c:idx val="1"/>
          <c:order val="1"/>
          <c:tx>
            <c:strRef>
              <c:f>'33'!$R$24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75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'33'!$P$25:$P$36</c:f>
              <c:strCache>
                <c:ptCount val="12"/>
                <c:pt idx="0">
                  <c:v>بندرامام</c:v>
                </c:pt>
                <c:pt idx="1">
                  <c:v>ماهشهر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ميرجاوه</c:v>
                </c:pt>
                <c:pt idx="7">
                  <c:v>بندراميرآباد</c:v>
                </c:pt>
                <c:pt idx="8">
                  <c:v>شلمچه</c:v>
                </c:pt>
                <c:pt idx="9">
                  <c:v>آستارا</c:v>
                </c:pt>
                <c:pt idx="10">
                  <c:v>شمتیغ</c:v>
                </c:pt>
                <c:pt idx="11">
                  <c:v>سایر</c:v>
                </c:pt>
              </c:strCache>
            </c:strRef>
          </c:cat>
          <c:val>
            <c:numRef>
              <c:f>'33'!$R$25:$R$36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447022</c:v>
                </c:pt>
                <c:pt idx="3">
                  <c:v>448</c:v>
                </c:pt>
                <c:pt idx="4">
                  <c:v>1106408</c:v>
                </c:pt>
                <c:pt idx="5">
                  <c:v>402540</c:v>
                </c:pt>
                <c:pt idx="6">
                  <c:v>20723</c:v>
                </c:pt>
                <c:pt idx="7">
                  <c:v>0</c:v>
                </c:pt>
                <c:pt idx="8">
                  <c:v>0</c:v>
                </c:pt>
                <c:pt idx="9">
                  <c:v>167422</c:v>
                </c:pt>
                <c:pt idx="10">
                  <c:v>45713</c:v>
                </c:pt>
                <c:pt idx="11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18-4322-89E3-5AC81BE20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691625168"/>
        <c:axId val="-1691639856"/>
      </c:barChart>
      <c:catAx>
        <c:axId val="-169162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691639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691639856"/>
        <c:scaling>
          <c:orientation val="minMax"/>
          <c:max val="6000000.0000000009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691625168"/>
        <c:crosses val="autoZero"/>
        <c:crossBetween val="between"/>
        <c:majorUnit val="2000000"/>
        <c:minorUnit val="100000"/>
        <c:dispUnits>
          <c:builtInUnit val="millions"/>
          <c:dispUnitsLbl>
            <c:layout>
              <c:manualLayout>
                <c:xMode val="edge"/>
                <c:yMode val="edge"/>
                <c:x val="1.2510221302266169E-2"/>
                <c:y val="0.14412128171478567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900" b="1" i="0" u="none" strike="noStrike" baseline="0">
                      <a:solidFill>
                        <a:srgbClr val="333399"/>
                      </a:solidFill>
                      <a:latin typeface="B Mitra"/>
                      <a:ea typeface="B Mitra"/>
                      <a:cs typeface="B Mitra"/>
                    </a:defRPr>
                  </a:pPr>
                  <a:r>
                    <a:rPr lang="fa-IR"/>
                    <a:t>ميليون تن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434814431499792"/>
          <c:y val="0.309778701520178"/>
          <c:w val="0.10546612401691347"/>
          <c:h val="0.165135030709993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نمودار شماره 5 - تن كيلومتر بار وارده راه آهن درسالهاي 1403 - 1402</a:t>
            </a:r>
          </a:p>
        </c:rich>
      </c:tx>
      <c:layout>
        <c:manualLayout>
          <c:xMode val="edge"/>
          <c:yMode val="edge"/>
          <c:x val="0.17847731799482511"/>
          <c:y val="1.8315983229369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74538820945255"/>
          <c:y val="0.11551256092988377"/>
          <c:w val="0.86072820684648466"/>
          <c:h val="0.758127688584381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'33'!$V$24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'33'!$U$25:$U$33</c:f>
              <c:strCache>
                <c:ptCount val="9"/>
                <c:pt idx="0">
                  <c:v>بندرامام</c:v>
                </c:pt>
                <c:pt idx="1">
                  <c:v>اینچه برون</c:v>
                </c:pt>
                <c:pt idx="2">
                  <c:v>بندرعباس</c:v>
                </c:pt>
                <c:pt idx="3">
                  <c:v>سرخس</c:v>
                </c:pt>
                <c:pt idx="4">
                  <c:v>رازي</c:v>
                </c:pt>
                <c:pt idx="5">
                  <c:v>میرجاوه</c:v>
                </c:pt>
                <c:pt idx="6">
                  <c:v>بندراميرآباد</c:v>
                </c:pt>
                <c:pt idx="7">
                  <c:v>آستارا</c:v>
                </c:pt>
                <c:pt idx="8">
                  <c:v>خرمشهر</c:v>
                </c:pt>
              </c:strCache>
            </c:strRef>
          </c:cat>
          <c:val>
            <c:numRef>
              <c:f>'33'!$V$25:$V$33</c:f>
              <c:numCache>
                <c:formatCode>#,##0</c:formatCode>
                <c:ptCount val="9"/>
                <c:pt idx="0">
                  <c:v>0</c:v>
                </c:pt>
                <c:pt idx="1">
                  <c:v>3788147</c:v>
                </c:pt>
                <c:pt idx="2">
                  <c:v>82669</c:v>
                </c:pt>
                <c:pt idx="3">
                  <c:v>18258958</c:v>
                </c:pt>
                <c:pt idx="4">
                  <c:v>115391448</c:v>
                </c:pt>
                <c:pt idx="5">
                  <c:v>131100</c:v>
                </c:pt>
                <c:pt idx="6">
                  <c:v>0</c:v>
                </c:pt>
                <c:pt idx="7">
                  <c:v>34788750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6-4192-BF18-BBA54468EBDB}"/>
            </c:ext>
          </c:extLst>
        </c:ser>
        <c:ser>
          <c:idx val="1"/>
          <c:order val="1"/>
          <c:tx>
            <c:strRef>
              <c:f>'33'!$W$24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75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'33'!$U$25:$U$33</c:f>
              <c:strCache>
                <c:ptCount val="9"/>
                <c:pt idx="0">
                  <c:v>بندرامام</c:v>
                </c:pt>
                <c:pt idx="1">
                  <c:v>اینچه برون</c:v>
                </c:pt>
                <c:pt idx="2">
                  <c:v>بندرعباس</c:v>
                </c:pt>
                <c:pt idx="3">
                  <c:v>سرخس</c:v>
                </c:pt>
                <c:pt idx="4">
                  <c:v>رازي</c:v>
                </c:pt>
                <c:pt idx="5">
                  <c:v>میرجاوه</c:v>
                </c:pt>
                <c:pt idx="6">
                  <c:v>بندراميرآباد</c:v>
                </c:pt>
                <c:pt idx="7">
                  <c:v>آستارا</c:v>
                </c:pt>
                <c:pt idx="8">
                  <c:v>خرمشهر</c:v>
                </c:pt>
              </c:strCache>
            </c:strRef>
          </c:cat>
          <c:val>
            <c:numRef>
              <c:f>'33'!$W$25:$W$33</c:f>
              <c:numCache>
                <c:formatCode>#,##0</c:formatCode>
                <c:ptCount val="9"/>
                <c:pt idx="0">
                  <c:v>0</c:v>
                </c:pt>
                <c:pt idx="1">
                  <c:v>1780289</c:v>
                </c:pt>
                <c:pt idx="3">
                  <c:v>15079807</c:v>
                </c:pt>
                <c:pt idx="4">
                  <c:v>134456423</c:v>
                </c:pt>
                <c:pt idx="5">
                  <c:v>244950</c:v>
                </c:pt>
                <c:pt idx="6">
                  <c:v>0</c:v>
                </c:pt>
                <c:pt idx="7">
                  <c:v>42058500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A6-4192-BF18-BBA54468E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691627344"/>
        <c:axId val="-1691626800"/>
      </c:barChart>
      <c:catAx>
        <c:axId val="-169162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691626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691626800"/>
        <c:scaling>
          <c:orientation val="minMax"/>
          <c:max val="240000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0;[Red]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691627344"/>
        <c:crosses val="autoZero"/>
        <c:crossBetween val="between"/>
        <c:majorUnit val="200000000"/>
        <c:dispUnits>
          <c:builtInUnit val="millions"/>
          <c:dispUnitsLbl>
            <c:layout>
              <c:manualLayout>
                <c:xMode val="edge"/>
                <c:yMode val="edge"/>
                <c:x val="5.3932354200405784E-3"/>
                <c:y val="0.12911886014248217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850" b="1" i="0" u="none" strike="noStrike" baseline="0">
                      <a:solidFill>
                        <a:srgbClr val="333399"/>
                      </a:solidFill>
                      <a:latin typeface="B Mitra"/>
                      <a:ea typeface="B Mitra"/>
                      <a:cs typeface="B Nazanin" panose="00000400000000000000" pitchFamily="2" charset="-78"/>
                    </a:defRPr>
                  </a:pPr>
                  <a:r>
                    <a:rPr lang="fa-IR">
                      <a:cs typeface="B Nazanin" panose="00000400000000000000" pitchFamily="2" charset="-78"/>
                    </a:rPr>
                    <a:t>ميليون تن كيلومتر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537368999087869"/>
          <c:y val="0.33034325254797697"/>
          <c:w val="0.12199102771727999"/>
          <c:h val="0.170700207928554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نمودار شماره 6 - تن كيلومتر بار صادره راه آهن درسالهاي 1403 - 1402</a:t>
            </a:r>
          </a:p>
        </c:rich>
      </c:tx>
      <c:layout>
        <c:manualLayout>
          <c:xMode val="edge"/>
          <c:yMode val="edge"/>
          <c:x val="0.16953468316460443"/>
          <c:y val="4.2953612521672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38728323699421"/>
          <c:y val="0.14201270533089366"/>
          <c:w val="0.8477842003853564"/>
          <c:h val="0.71004214551510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'33'!$AA$24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'33'!$Z$25:$Z$36</c:f>
              <c:strCache>
                <c:ptCount val="12"/>
                <c:pt idx="0">
                  <c:v>بندرامام</c:v>
                </c:pt>
                <c:pt idx="1">
                  <c:v>ماهشهر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ميرجاوه</c:v>
                </c:pt>
                <c:pt idx="7">
                  <c:v>بندراميرآباد</c:v>
                </c:pt>
                <c:pt idx="8">
                  <c:v>شلمچه</c:v>
                </c:pt>
                <c:pt idx="9">
                  <c:v>آستارا</c:v>
                </c:pt>
                <c:pt idx="10">
                  <c:v>شمتیغ</c:v>
                </c:pt>
                <c:pt idx="11">
                  <c:v>سایر</c:v>
                </c:pt>
              </c:strCache>
            </c:strRef>
          </c:cat>
          <c:val>
            <c:numRef>
              <c:f>'33'!$AA$25:$AA$36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59838170</c:v>
                </c:pt>
                <c:pt idx="3">
                  <c:v>279401</c:v>
                </c:pt>
                <c:pt idx="4">
                  <c:v>241296165</c:v>
                </c:pt>
                <c:pt idx="5">
                  <c:v>149182416</c:v>
                </c:pt>
                <c:pt idx="6">
                  <c:v>4473300</c:v>
                </c:pt>
                <c:pt idx="7">
                  <c:v>0</c:v>
                </c:pt>
                <c:pt idx="8">
                  <c:v>0</c:v>
                </c:pt>
                <c:pt idx="9">
                  <c:v>27538350</c:v>
                </c:pt>
                <c:pt idx="10">
                  <c:v>6992182</c:v>
                </c:pt>
                <c:pt idx="11">
                  <c:v>67200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1-4010-A718-AD3DE0EDD95E}"/>
            </c:ext>
          </c:extLst>
        </c:ser>
        <c:ser>
          <c:idx val="1"/>
          <c:order val="1"/>
          <c:tx>
            <c:strRef>
              <c:f>'33'!$AB$24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75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'33'!$Z$25:$Z$36</c:f>
              <c:strCache>
                <c:ptCount val="12"/>
                <c:pt idx="0">
                  <c:v>بندرامام</c:v>
                </c:pt>
                <c:pt idx="1">
                  <c:v>ماهشهر</c:v>
                </c:pt>
                <c:pt idx="2">
                  <c:v>اینچه برون</c:v>
                </c:pt>
                <c:pt idx="3">
                  <c:v>بندرعباس</c:v>
                </c:pt>
                <c:pt idx="4">
                  <c:v>سرخس</c:v>
                </c:pt>
                <c:pt idx="5">
                  <c:v>رازي</c:v>
                </c:pt>
                <c:pt idx="6">
                  <c:v>ميرجاوه</c:v>
                </c:pt>
                <c:pt idx="7">
                  <c:v>بندراميرآباد</c:v>
                </c:pt>
                <c:pt idx="8">
                  <c:v>شلمچه</c:v>
                </c:pt>
                <c:pt idx="9">
                  <c:v>آستارا</c:v>
                </c:pt>
                <c:pt idx="10">
                  <c:v>شمتیغ</c:v>
                </c:pt>
                <c:pt idx="11">
                  <c:v>سایر</c:v>
                </c:pt>
              </c:strCache>
            </c:strRef>
          </c:cat>
          <c:val>
            <c:numRef>
              <c:f>'33'!$AB$25:$AB$36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68011811</c:v>
                </c:pt>
                <c:pt idx="3">
                  <c:v>690825</c:v>
                </c:pt>
                <c:pt idx="4">
                  <c:v>251092238</c:v>
                </c:pt>
                <c:pt idx="5">
                  <c:v>274675753</c:v>
                </c:pt>
                <c:pt idx="6">
                  <c:v>3108450</c:v>
                </c:pt>
                <c:pt idx="7">
                  <c:v>0</c:v>
                </c:pt>
                <c:pt idx="8">
                  <c:v>0</c:v>
                </c:pt>
                <c:pt idx="9">
                  <c:v>25113300</c:v>
                </c:pt>
                <c:pt idx="10">
                  <c:v>13031798</c:v>
                </c:pt>
                <c:pt idx="11">
                  <c:v>74666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41-4010-A718-AD3DE0EDD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691637680"/>
        <c:axId val="-1691630608"/>
      </c:barChart>
      <c:catAx>
        <c:axId val="-169163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691630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691630608"/>
        <c:scaling>
          <c:orientation val="minMax"/>
          <c:max val="500000000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69163768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121457489878543E-2"/>
                <c:y val="0.12814645308924486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900" b="1" i="0" u="none" strike="noStrike" baseline="0">
                      <a:solidFill>
                        <a:srgbClr val="333399"/>
                      </a:solidFill>
                      <a:latin typeface="B Mitra"/>
                      <a:ea typeface="B Mitra"/>
                      <a:cs typeface="B Nazanin" panose="00000400000000000000" pitchFamily="2" charset="-78"/>
                    </a:defRPr>
                  </a:pPr>
                  <a:r>
                    <a:rPr lang="fa-IR">
                      <a:cs typeface="B Nazanin" panose="00000400000000000000" pitchFamily="2" charset="-78"/>
                    </a:rPr>
                    <a:t>ميليون تن كيلومتر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077315335583044"/>
          <c:y val="0.30714801641961853"/>
          <c:w val="0.11753730783652039"/>
          <c:h val="0.175347820425841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 horizontalDpi="0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نمودارشماره 7 - تعداد واگن هاي بارگيري شده درسالهاي 1402- 1403</a:t>
            </a:r>
          </a:p>
        </c:rich>
      </c:tx>
      <c:layout>
        <c:manualLayout>
          <c:xMode val="edge"/>
          <c:yMode val="edge"/>
          <c:x val="0.1719628130595825"/>
          <c:y val="1.31925688059942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65732087227414"/>
          <c:y val="0.11181434599156118"/>
          <c:w val="0.864797507788162"/>
          <c:h val="0.64470358802914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'39'!$B$20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'39'!$A$21:$A$41</c:f>
              <c:strCache>
                <c:ptCount val="21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</c:v>
                </c:pt>
                <c:pt idx="7">
                  <c:v>شمالشرق2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يزد</c:v>
                </c:pt>
                <c:pt idx="13">
                  <c:v>کرمان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قم</c:v>
                </c:pt>
                <c:pt idx="17">
                  <c:v>زاگرس</c:v>
                </c:pt>
                <c:pt idx="18">
                  <c:v>شرق</c:v>
                </c:pt>
                <c:pt idx="19">
                  <c:v>فارس</c:v>
                </c:pt>
                <c:pt idx="20">
                  <c:v>غرب</c:v>
                </c:pt>
              </c:strCache>
            </c:strRef>
          </c:cat>
          <c:val>
            <c:numRef>
              <c:f>'39'!$B$21:$B$40</c:f>
              <c:numCache>
                <c:formatCode>#,##0</c:formatCode>
                <c:ptCount val="20"/>
                <c:pt idx="0">
                  <c:v>66324</c:v>
                </c:pt>
                <c:pt idx="1">
                  <c:v>7826</c:v>
                </c:pt>
                <c:pt idx="2">
                  <c:v>19510</c:v>
                </c:pt>
                <c:pt idx="3">
                  <c:v>34624</c:v>
                </c:pt>
                <c:pt idx="4">
                  <c:v>4205</c:v>
                </c:pt>
                <c:pt idx="5">
                  <c:v>22334</c:v>
                </c:pt>
                <c:pt idx="6">
                  <c:v>6952</c:v>
                </c:pt>
                <c:pt idx="7">
                  <c:v>7395</c:v>
                </c:pt>
                <c:pt idx="8">
                  <c:v>42842</c:v>
                </c:pt>
                <c:pt idx="9">
                  <c:v>2767</c:v>
                </c:pt>
                <c:pt idx="10">
                  <c:v>23947</c:v>
                </c:pt>
                <c:pt idx="11">
                  <c:v>49602</c:v>
                </c:pt>
                <c:pt idx="12">
                  <c:v>150203</c:v>
                </c:pt>
                <c:pt idx="13">
                  <c:v>22839</c:v>
                </c:pt>
                <c:pt idx="14">
                  <c:v>2893</c:v>
                </c:pt>
                <c:pt idx="15">
                  <c:v>105545</c:v>
                </c:pt>
                <c:pt idx="16">
                  <c:v>5488</c:v>
                </c:pt>
                <c:pt idx="17">
                  <c:v>2834</c:v>
                </c:pt>
                <c:pt idx="18">
                  <c:v>88696</c:v>
                </c:pt>
                <c:pt idx="19">
                  <c:v>5672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F5-4ABF-AAE9-7A2F1ADD6A7F}"/>
            </c:ext>
          </c:extLst>
        </c:ser>
        <c:ser>
          <c:idx val="1"/>
          <c:order val="1"/>
          <c:tx>
            <c:strRef>
              <c:f>'39'!$C$20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75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'39'!$A$21:$A$41</c:f>
              <c:strCache>
                <c:ptCount val="21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</c:v>
                </c:pt>
                <c:pt idx="7">
                  <c:v>شمالشرق2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يزد</c:v>
                </c:pt>
                <c:pt idx="13">
                  <c:v>کرمان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قم</c:v>
                </c:pt>
                <c:pt idx="17">
                  <c:v>زاگرس</c:v>
                </c:pt>
                <c:pt idx="18">
                  <c:v>شرق</c:v>
                </c:pt>
                <c:pt idx="19">
                  <c:v>فارس</c:v>
                </c:pt>
                <c:pt idx="20">
                  <c:v>غرب</c:v>
                </c:pt>
              </c:strCache>
            </c:strRef>
          </c:cat>
          <c:val>
            <c:numRef>
              <c:f>'39'!$C$21:$C$41</c:f>
              <c:numCache>
                <c:formatCode>#,##0</c:formatCode>
                <c:ptCount val="21"/>
                <c:pt idx="0">
                  <c:v>74669</c:v>
                </c:pt>
                <c:pt idx="1">
                  <c:v>2992</c:v>
                </c:pt>
                <c:pt idx="2">
                  <c:v>23089</c:v>
                </c:pt>
                <c:pt idx="3">
                  <c:v>33800</c:v>
                </c:pt>
                <c:pt idx="4">
                  <c:v>2735</c:v>
                </c:pt>
                <c:pt idx="5">
                  <c:v>17174</c:v>
                </c:pt>
                <c:pt idx="6">
                  <c:v>6015</c:v>
                </c:pt>
                <c:pt idx="7">
                  <c:v>11551</c:v>
                </c:pt>
                <c:pt idx="8">
                  <c:v>51988</c:v>
                </c:pt>
                <c:pt idx="9">
                  <c:v>5975</c:v>
                </c:pt>
                <c:pt idx="10">
                  <c:v>29238</c:v>
                </c:pt>
                <c:pt idx="11">
                  <c:v>42634</c:v>
                </c:pt>
                <c:pt idx="12">
                  <c:v>142657</c:v>
                </c:pt>
                <c:pt idx="13">
                  <c:v>11943</c:v>
                </c:pt>
                <c:pt idx="14">
                  <c:v>2810</c:v>
                </c:pt>
                <c:pt idx="15">
                  <c:v>99418</c:v>
                </c:pt>
                <c:pt idx="16">
                  <c:v>3641</c:v>
                </c:pt>
                <c:pt idx="17">
                  <c:v>2828</c:v>
                </c:pt>
                <c:pt idx="18">
                  <c:v>79998</c:v>
                </c:pt>
                <c:pt idx="19">
                  <c:v>8590</c:v>
                </c:pt>
                <c:pt idx="20">
                  <c:v>5132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F5-4ABF-AAE9-7A2F1ADD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691636592"/>
        <c:axId val="-1691630064"/>
      </c:barChart>
      <c:catAx>
        <c:axId val="-169163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691630064"/>
        <c:crosses val="autoZero"/>
        <c:auto val="1"/>
        <c:lblAlgn val="ctr"/>
        <c:lblOffset val="10"/>
        <c:tickMarkSkip val="1"/>
        <c:noMultiLvlLbl val="0"/>
      </c:catAx>
      <c:valAx>
        <c:axId val="-1691630064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691636592"/>
        <c:crosses val="autoZero"/>
        <c:crossBetween val="between"/>
        <c:majorUnit val="40000"/>
        <c:dispUnits>
          <c:builtInUnit val="thousands"/>
          <c:dispUnitsLbl>
            <c:layout>
              <c:manualLayout>
                <c:xMode val="edge"/>
                <c:yMode val="edge"/>
                <c:x val="1.869158878504673E-3"/>
                <c:y val="8.394298813914082E-2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875" b="1" i="0" u="none" strike="noStrike" baseline="0">
                      <a:solidFill>
                        <a:srgbClr val="333399"/>
                      </a:solidFill>
                      <a:latin typeface="B Mitra"/>
                      <a:ea typeface="B Mitra"/>
                      <a:cs typeface="B Nazanin" panose="00000400000000000000" pitchFamily="2" charset="-78"/>
                    </a:defRPr>
                  </a:pPr>
                  <a:r>
                    <a:rPr lang="fa-IR">
                      <a:cs typeface="B Nazanin" panose="00000400000000000000" pitchFamily="2" charset="-78"/>
                    </a:rPr>
                    <a:t>هزارواگن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477479333774868"/>
          <c:y val="0.28854261638347833"/>
          <c:w val="9.9691809551843369E-2"/>
          <c:h val="0.152275839821698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 horizontalDpi="-3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Roya"/>
              </a:defRPr>
            </a:pPr>
            <a:r>
              <a:rPr lang="fa-IR" sz="1200" b="1" i="0" u="none" strike="noStrike" baseline="0">
                <a:solidFill>
                  <a:srgbClr val="000099"/>
                </a:solidFill>
                <a:cs typeface="B Roya"/>
              </a:rPr>
              <a:t>نمودار شماره 8 - تناژ بار بارگيري شده درسالهاي 1402-1403 </a:t>
            </a:r>
          </a:p>
        </c:rich>
      </c:tx>
      <c:layout>
        <c:manualLayout>
          <c:xMode val="edge"/>
          <c:yMode val="edge"/>
          <c:x val="0.23468210130450115"/>
          <c:y val="9.291941955531421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50375939849623"/>
          <c:y val="0.11364544494974027"/>
          <c:w val="0.88157894736842102"/>
          <c:h val="0.632150265520502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'41'!$B$21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Up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'41'!$A$22:$A$42</c:f>
              <c:strCache>
                <c:ptCount val="21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</c:v>
                </c:pt>
                <c:pt idx="7">
                  <c:v>شمالشرق2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يزد</c:v>
                </c:pt>
                <c:pt idx="13">
                  <c:v>کرمان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قم</c:v>
                </c:pt>
                <c:pt idx="17">
                  <c:v>زاگرس</c:v>
                </c:pt>
                <c:pt idx="18">
                  <c:v>شرق</c:v>
                </c:pt>
                <c:pt idx="19">
                  <c:v>فارس</c:v>
                </c:pt>
                <c:pt idx="20">
                  <c:v>غرب</c:v>
                </c:pt>
              </c:strCache>
            </c:strRef>
          </c:cat>
          <c:val>
            <c:numRef>
              <c:f>'41'!$B$22:$B$41</c:f>
              <c:numCache>
                <c:formatCode>#,##0</c:formatCode>
                <c:ptCount val="20"/>
                <c:pt idx="0">
                  <c:v>3386791</c:v>
                </c:pt>
                <c:pt idx="1">
                  <c:v>445659</c:v>
                </c:pt>
                <c:pt idx="2">
                  <c:v>1103928</c:v>
                </c:pt>
                <c:pt idx="3">
                  <c:v>1824124</c:v>
                </c:pt>
                <c:pt idx="4">
                  <c:v>240504</c:v>
                </c:pt>
                <c:pt idx="5">
                  <c:v>1283202</c:v>
                </c:pt>
                <c:pt idx="6">
                  <c:v>404291</c:v>
                </c:pt>
                <c:pt idx="7">
                  <c:v>454634</c:v>
                </c:pt>
                <c:pt idx="8">
                  <c:v>2360397</c:v>
                </c:pt>
                <c:pt idx="9">
                  <c:v>173024</c:v>
                </c:pt>
                <c:pt idx="10">
                  <c:v>1008206</c:v>
                </c:pt>
                <c:pt idx="11">
                  <c:v>3087631</c:v>
                </c:pt>
                <c:pt idx="12">
                  <c:v>11074971</c:v>
                </c:pt>
                <c:pt idx="13">
                  <c:v>1449787</c:v>
                </c:pt>
                <c:pt idx="14">
                  <c:v>121014</c:v>
                </c:pt>
                <c:pt idx="15">
                  <c:v>6298599</c:v>
                </c:pt>
                <c:pt idx="16">
                  <c:v>350826</c:v>
                </c:pt>
                <c:pt idx="17">
                  <c:v>176581</c:v>
                </c:pt>
                <c:pt idx="18">
                  <c:v>6761345</c:v>
                </c:pt>
                <c:pt idx="19">
                  <c:v>377485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1B-47EA-9084-C0C5EB06B9EA}"/>
            </c:ext>
          </c:extLst>
        </c:ser>
        <c:ser>
          <c:idx val="1"/>
          <c:order val="1"/>
          <c:tx>
            <c:strRef>
              <c:f>'41'!$C$21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80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'41'!$A$22:$A$42</c:f>
              <c:strCache>
                <c:ptCount val="21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</c:v>
                </c:pt>
                <c:pt idx="7">
                  <c:v>شمالشرق2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يزد</c:v>
                </c:pt>
                <c:pt idx="13">
                  <c:v>کرمان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قم</c:v>
                </c:pt>
                <c:pt idx="17">
                  <c:v>زاگرس</c:v>
                </c:pt>
                <c:pt idx="18">
                  <c:v>شرق</c:v>
                </c:pt>
                <c:pt idx="19">
                  <c:v>فارس</c:v>
                </c:pt>
                <c:pt idx="20">
                  <c:v>غرب</c:v>
                </c:pt>
              </c:strCache>
            </c:strRef>
          </c:cat>
          <c:val>
            <c:numRef>
              <c:f>'41'!$C$22:$C$42</c:f>
              <c:numCache>
                <c:formatCode>#,##0</c:formatCode>
                <c:ptCount val="21"/>
                <c:pt idx="0">
                  <c:v>3343722</c:v>
                </c:pt>
                <c:pt idx="1">
                  <c:v>185870</c:v>
                </c:pt>
                <c:pt idx="2">
                  <c:v>1283300</c:v>
                </c:pt>
                <c:pt idx="3">
                  <c:v>1670992</c:v>
                </c:pt>
                <c:pt idx="4">
                  <c:v>149090</c:v>
                </c:pt>
                <c:pt idx="5">
                  <c:v>975175</c:v>
                </c:pt>
                <c:pt idx="6">
                  <c:v>355751</c:v>
                </c:pt>
                <c:pt idx="7">
                  <c:v>690773</c:v>
                </c:pt>
                <c:pt idx="8">
                  <c:v>3065206</c:v>
                </c:pt>
                <c:pt idx="9">
                  <c:v>342287</c:v>
                </c:pt>
                <c:pt idx="10">
                  <c:v>1270471</c:v>
                </c:pt>
                <c:pt idx="11">
                  <c:v>2654015</c:v>
                </c:pt>
                <c:pt idx="12">
                  <c:v>10572512</c:v>
                </c:pt>
                <c:pt idx="13">
                  <c:v>743164</c:v>
                </c:pt>
                <c:pt idx="14">
                  <c:v>119989</c:v>
                </c:pt>
                <c:pt idx="15">
                  <c:v>5583412</c:v>
                </c:pt>
                <c:pt idx="16">
                  <c:v>247229</c:v>
                </c:pt>
                <c:pt idx="17">
                  <c:v>176568</c:v>
                </c:pt>
                <c:pt idx="18">
                  <c:v>6213775</c:v>
                </c:pt>
                <c:pt idx="19">
                  <c:v>558515</c:v>
                </c:pt>
                <c:pt idx="20">
                  <c:v>309780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1B-47EA-9084-C0C5EB06B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66232896"/>
        <c:axId val="-166234528"/>
      </c:barChart>
      <c:catAx>
        <c:axId val="-16623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66234528"/>
        <c:crosses val="autoZero"/>
        <c:auto val="1"/>
        <c:lblAlgn val="ctr"/>
        <c:lblOffset val="10"/>
        <c:tickLblSkip val="1"/>
        <c:tickMarkSkip val="1"/>
        <c:noMultiLvlLbl val="0"/>
      </c:catAx>
      <c:valAx>
        <c:axId val="-166234528"/>
        <c:scaling>
          <c:orientation val="minMax"/>
          <c:max val="1800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6623289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9.3984962406015032E-3"/>
                <c:y val="0.11252589898175928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875" b="1" i="0" u="none" strike="noStrike" baseline="0">
                      <a:solidFill>
                        <a:srgbClr val="333399"/>
                      </a:solidFill>
                      <a:latin typeface="B Roya"/>
                      <a:ea typeface="B Roya"/>
                      <a:cs typeface="B Roya"/>
                    </a:defRPr>
                  </a:pPr>
                  <a:r>
                    <a:rPr lang="fa-IR"/>
                    <a:t>ميليون تن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631605750773691"/>
          <c:y val="0.24348025462334449"/>
          <c:w val="0.11095330434441963"/>
          <c:h val="0.155212538087911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Roya"/>
              </a:defRPr>
            </a:pPr>
            <a:r>
              <a:rPr lang="fa-IR" sz="1800" b="1" i="0" u="none" strike="noStrike" baseline="0">
                <a:solidFill>
                  <a:srgbClr val="000099"/>
                </a:solidFill>
                <a:cs typeface="B Roya"/>
              </a:rPr>
              <a:t>نمودار شماره 9 - تناژبار بارگيري شده به تفكيك مواد در سالهاي 1403- 1397</a:t>
            </a:r>
          </a:p>
        </c:rich>
      </c:tx>
      <c:layout>
        <c:manualLayout>
          <c:xMode val="edge"/>
          <c:yMode val="edge"/>
          <c:x val="0.16610941758135225"/>
          <c:y val="2.3350484112241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265625E-2"/>
          <c:y val="0.11279807597272098"/>
          <c:w val="0.875"/>
          <c:h val="0.780922149375679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'46'!$B$3</c:f>
              <c:strCache>
                <c:ptCount val="1"/>
                <c:pt idx="0">
                  <c:v>1397</c:v>
                </c:pt>
              </c:strCache>
            </c:strRef>
          </c:tx>
          <c:spPr>
            <a:pattFill prst="dkUpDiag">
              <a:fgClr>
                <a:srgbClr val="FFFF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'46'!$A$4:$A$10</c:f>
              <c:strCache>
                <c:ptCount val="7"/>
                <c:pt idx="0">
                  <c:v>مواد نفتي</c:v>
                </c:pt>
                <c:pt idx="1">
                  <c:v>مواد معدني</c:v>
                </c:pt>
                <c:pt idx="2">
                  <c:v>مواد كشاورزي</c:v>
                </c:pt>
                <c:pt idx="3">
                  <c:v>مواد غذايي</c:v>
                </c:pt>
                <c:pt idx="4">
                  <c:v>مواد صنعتي</c:v>
                </c:pt>
                <c:pt idx="5">
                  <c:v>سايرمحمولات</c:v>
                </c:pt>
                <c:pt idx="6">
                  <c:v>توشه و حمل خودرو</c:v>
                </c:pt>
              </c:strCache>
            </c:strRef>
          </c:cat>
          <c:val>
            <c:numRef>
              <c:f>'46'!$B$4:$B$10</c:f>
              <c:numCache>
                <c:formatCode>#,##0</c:formatCode>
                <c:ptCount val="7"/>
                <c:pt idx="0">
                  <c:v>3725</c:v>
                </c:pt>
                <c:pt idx="1">
                  <c:v>36315</c:v>
                </c:pt>
                <c:pt idx="2">
                  <c:v>1587</c:v>
                </c:pt>
                <c:pt idx="3">
                  <c:v>989</c:v>
                </c:pt>
                <c:pt idx="4">
                  <c:v>4138</c:v>
                </c:pt>
                <c:pt idx="5">
                  <c:v>3566</c:v>
                </c:pt>
                <c:pt idx="6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B0-479F-ABE3-3E3A7381DBBF}"/>
            </c:ext>
          </c:extLst>
        </c:ser>
        <c:ser>
          <c:idx val="3"/>
          <c:order val="1"/>
          <c:tx>
            <c:strRef>
              <c:f>'46'!$C$3</c:f>
              <c:strCache>
                <c:ptCount val="1"/>
                <c:pt idx="0">
                  <c:v>1398</c:v>
                </c:pt>
              </c:strCache>
            </c:strRef>
          </c:tx>
          <c:spPr>
            <a:pattFill prst="lgConfetti">
              <a:fgClr>
                <a:srgbClr val="FFC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'46'!$A$4:$A$10</c:f>
              <c:strCache>
                <c:ptCount val="7"/>
                <c:pt idx="0">
                  <c:v>مواد نفتي</c:v>
                </c:pt>
                <c:pt idx="1">
                  <c:v>مواد معدني</c:v>
                </c:pt>
                <c:pt idx="2">
                  <c:v>مواد كشاورزي</c:v>
                </c:pt>
                <c:pt idx="3">
                  <c:v>مواد غذايي</c:v>
                </c:pt>
                <c:pt idx="4">
                  <c:v>مواد صنعتي</c:v>
                </c:pt>
                <c:pt idx="5">
                  <c:v>سايرمحمولات</c:v>
                </c:pt>
                <c:pt idx="6">
                  <c:v>توشه و حمل خودرو</c:v>
                </c:pt>
              </c:strCache>
            </c:strRef>
          </c:cat>
          <c:val>
            <c:numRef>
              <c:f>'46'!$C$4:$C$10</c:f>
              <c:numCache>
                <c:formatCode>#,##0</c:formatCode>
                <c:ptCount val="7"/>
                <c:pt idx="0">
                  <c:v>3994</c:v>
                </c:pt>
                <c:pt idx="1">
                  <c:v>33579</c:v>
                </c:pt>
                <c:pt idx="2">
                  <c:v>1614</c:v>
                </c:pt>
                <c:pt idx="3">
                  <c:v>875</c:v>
                </c:pt>
                <c:pt idx="4">
                  <c:v>4129</c:v>
                </c:pt>
                <c:pt idx="5">
                  <c:v>2550</c:v>
                </c:pt>
                <c:pt idx="6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B0-479F-ABE3-3E3A7381DBBF}"/>
            </c:ext>
          </c:extLst>
        </c:ser>
        <c:ser>
          <c:idx val="4"/>
          <c:order val="2"/>
          <c:tx>
            <c:strRef>
              <c:f>'46'!$D$3</c:f>
              <c:strCache>
                <c:ptCount val="1"/>
                <c:pt idx="0">
                  <c:v>1399</c:v>
                </c:pt>
              </c:strCache>
            </c:strRef>
          </c:tx>
          <c:spPr>
            <a:pattFill prst="dkHorz">
              <a:fgClr>
                <a:srgbClr val="FF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'46'!$A$4:$A$10</c:f>
              <c:strCache>
                <c:ptCount val="7"/>
                <c:pt idx="0">
                  <c:v>مواد نفتي</c:v>
                </c:pt>
                <c:pt idx="1">
                  <c:v>مواد معدني</c:v>
                </c:pt>
                <c:pt idx="2">
                  <c:v>مواد كشاورزي</c:v>
                </c:pt>
                <c:pt idx="3">
                  <c:v>مواد غذايي</c:v>
                </c:pt>
                <c:pt idx="4">
                  <c:v>مواد صنعتي</c:v>
                </c:pt>
                <c:pt idx="5">
                  <c:v>سايرمحمولات</c:v>
                </c:pt>
                <c:pt idx="6">
                  <c:v>توشه و حمل خودرو</c:v>
                </c:pt>
              </c:strCache>
            </c:strRef>
          </c:cat>
          <c:val>
            <c:numRef>
              <c:f>'46'!$D$4:$D$10</c:f>
              <c:numCache>
                <c:formatCode>#,##0</c:formatCode>
                <c:ptCount val="7"/>
                <c:pt idx="0">
                  <c:v>4540</c:v>
                </c:pt>
                <c:pt idx="1">
                  <c:v>33658.436000000002</c:v>
                </c:pt>
                <c:pt idx="2">
                  <c:v>1964.355</c:v>
                </c:pt>
                <c:pt idx="3">
                  <c:v>1021.818</c:v>
                </c:pt>
                <c:pt idx="4">
                  <c:v>4374.3019999999997</c:v>
                </c:pt>
                <c:pt idx="5">
                  <c:v>4797.6769999999997</c:v>
                </c:pt>
                <c:pt idx="6">
                  <c:v>207.68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B0-479F-ABE3-3E3A7381DBBF}"/>
            </c:ext>
          </c:extLst>
        </c:ser>
        <c:ser>
          <c:idx val="0"/>
          <c:order val="3"/>
          <c:tx>
            <c:strRef>
              <c:f>'46'!$E$3</c:f>
              <c:strCache>
                <c:ptCount val="1"/>
                <c:pt idx="0">
                  <c:v>1400</c:v>
                </c:pt>
              </c:strCache>
            </c:strRef>
          </c:tx>
          <c:spPr>
            <a:pattFill prst="pct80">
              <a:fgClr>
                <a:srgbClr val="00B050"/>
              </a:fgClr>
              <a:bgClr>
                <a:schemeClr val="bg1"/>
              </a:bgClr>
            </a:pattFill>
            <a:ln w="9525" cap="flat" cmpd="sng">
              <a:solidFill>
                <a:srgbClr val="000000"/>
              </a:solidFill>
              <a:round/>
            </a:ln>
          </c:spPr>
          <c:invertIfNegative val="0"/>
          <c:val>
            <c:numRef>
              <c:f>'46'!$E$4:$E$10</c:f>
              <c:numCache>
                <c:formatCode>#,##0</c:formatCode>
                <c:ptCount val="7"/>
                <c:pt idx="0">
                  <c:v>4537.348</c:v>
                </c:pt>
                <c:pt idx="1">
                  <c:v>29011.115000000002</c:v>
                </c:pt>
                <c:pt idx="2">
                  <c:v>1989.932</c:v>
                </c:pt>
                <c:pt idx="3" formatCode="0">
                  <c:v>988.53200000000004</c:v>
                </c:pt>
                <c:pt idx="4">
                  <c:v>4223.1049999999996</c:v>
                </c:pt>
                <c:pt idx="5">
                  <c:v>5896.7599999999939</c:v>
                </c:pt>
                <c:pt idx="6" formatCode="0">
                  <c:v>265.65499999999997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B0-479F-ABE3-3E3A7381DBBF}"/>
            </c:ext>
          </c:extLst>
        </c:ser>
        <c:ser>
          <c:idx val="1"/>
          <c:order val="4"/>
          <c:tx>
            <c:strRef>
              <c:f>'46'!$F$3</c:f>
              <c:strCache>
                <c:ptCount val="1"/>
                <c:pt idx="0">
                  <c:v>1401</c:v>
                </c:pt>
              </c:strCache>
            </c:strRef>
          </c:tx>
          <c:spPr>
            <a:pattFill prst="dkDn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val>
            <c:numRef>
              <c:f>'46'!$F$4:$F$10</c:f>
              <c:numCache>
                <c:formatCode>#,##0</c:formatCode>
                <c:ptCount val="7"/>
                <c:pt idx="0">
                  <c:v>4452.107</c:v>
                </c:pt>
                <c:pt idx="1">
                  <c:v>27758.35</c:v>
                </c:pt>
                <c:pt idx="2">
                  <c:v>2000.4190000000001</c:v>
                </c:pt>
                <c:pt idx="3">
                  <c:v>871.20500000000004</c:v>
                </c:pt>
                <c:pt idx="4">
                  <c:v>3773.24</c:v>
                </c:pt>
                <c:pt idx="5">
                  <c:v>5316.6769999999997</c:v>
                </c:pt>
                <c:pt idx="6">
                  <c:v>266.86500000000001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B0-479F-ABE3-3E3A7381DBBF}"/>
            </c:ext>
          </c:extLst>
        </c:ser>
        <c:ser>
          <c:idx val="5"/>
          <c:order val="5"/>
          <c:tx>
            <c:v>1402</c:v>
          </c:tx>
          <c:spPr>
            <a:pattFill prst="sphere">
              <a:fgClr>
                <a:srgbClr val="7030A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val>
            <c:numRef>
              <c:f>'46'!$H$4:$H$10</c:f>
              <c:numCache>
                <c:formatCode>#,##0</c:formatCode>
                <c:ptCount val="7"/>
                <c:pt idx="0">
                  <c:v>4489.2030000000004</c:v>
                </c:pt>
                <c:pt idx="1">
                  <c:v>23696.275000000001</c:v>
                </c:pt>
                <c:pt idx="2">
                  <c:v>1713.1010000000001</c:v>
                </c:pt>
                <c:pt idx="3">
                  <c:v>880.28599999999994</c:v>
                </c:pt>
                <c:pt idx="4">
                  <c:v>3055.1289999999999</c:v>
                </c:pt>
                <c:pt idx="5">
                  <c:v>6677.6019999999999</c:v>
                </c:pt>
                <c:pt idx="6">
                  <c:v>119.905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B0-479F-ABE3-3E3A7381DBBF}"/>
            </c:ext>
          </c:extLst>
        </c:ser>
        <c:ser>
          <c:idx val="6"/>
          <c:order val="6"/>
          <c:tx>
            <c:strRef>
              <c:f>'46'!$H$3</c:f>
              <c:strCache>
                <c:ptCount val="1"/>
                <c:pt idx="0">
                  <c:v>1403</c:v>
                </c:pt>
              </c:strCache>
            </c:strRef>
          </c:tx>
          <c:invertIfNegative val="0"/>
          <c:val>
            <c:numRef>
              <c:f>'46'!$H$4:$H$10</c:f>
              <c:numCache>
                <c:formatCode>#,##0</c:formatCode>
                <c:ptCount val="7"/>
                <c:pt idx="0">
                  <c:v>4489.2030000000004</c:v>
                </c:pt>
                <c:pt idx="1">
                  <c:v>23696.275000000001</c:v>
                </c:pt>
                <c:pt idx="2">
                  <c:v>1713.1010000000001</c:v>
                </c:pt>
                <c:pt idx="3">
                  <c:v>880.28599999999994</c:v>
                </c:pt>
                <c:pt idx="4">
                  <c:v>3055.1289999999999</c:v>
                </c:pt>
                <c:pt idx="5">
                  <c:v>6677.6019999999999</c:v>
                </c:pt>
                <c:pt idx="6">
                  <c:v>119.905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39-4AF6-ACCF-69CB11629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555554544"/>
        <c:axId val="-1555574672"/>
      </c:barChart>
      <c:catAx>
        <c:axId val="-155555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prs-AF"/>
          </a:p>
        </c:txPr>
        <c:crossAx val="-1555574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55574672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555545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224463380433611E-2"/>
                <c:y val="0.11418723025730571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1400" b="1" i="0" u="none" strike="noStrike" baseline="0">
                      <a:solidFill>
                        <a:srgbClr val="000099"/>
                      </a:solidFill>
                      <a:latin typeface="B Roya"/>
                      <a:ea typeface="B Roya"/>
                      <a:cs typeface="B Roya"/>
                    </a:defRPr>
                  </a:pPr>
                  <a:r>
                    <a:rPr lang="fa-IR">
                      <a:solidFill>
                        <a:srgbClr val="000099"/>
                      </a:solidFill>
                    </a:rPr>
                    <a:t>ميليون تن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790406842099595"/>
          <c:y val="0.21301563296237241"/>
          <c:w val="5.5071038486810213E-2"/>
          <c:h val="0.329724820409974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نمودار شماره 10 - تن كيلومتر بار در سالهای</a:t>
            </a:r>
            <a:r>
              <a:rPr lang="fa-IR" sz="1100" b="1" i="0" u="none" strike="noStrike" baseline="0">
                <a:solidFill>
                  <a:srgbClr val="FF0000"/>
                </a:solidFill>
                <a:cs typeface="B Nazanin" panose="00000400000000000000" pitchFamily="2" charset="-78"/>
              </a:rPr>
              <a:t>1402_1403</a:t>
            </a:r>
          </a:p>
        </c:rich>
      </c:tx>
      <c:layout>
        <c:manualLayout>
          <c:xMode val="edge"/>
          <c:yMode val="edge"/>
          <c:x val="0.21951219512195122"/>
          <c:y val="3.66854958347597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056285178236398E-2"/>
          <c:y val="0.11028102547787587"/>
          <c:w val="0.88930581613508441"/>
          <c:h val="0.67841830377263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'49'!$B$21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'49'!$A$22:$A$42</c:f>
              <c:strCache>
                <c:ptCount val="21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شمالشرق1</c:v>
                </c:pt>
                <c:pt idx="7">
                  <c:v>شمالشرق2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یزد</c:v>
                </c:pt>
                <c:pt idx="13">
                  <c:v>كرمان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قم</c:v>
                </c:pt>
                <c:pt idx="17">
                  <c:v>زاگرس</c:v>
                </c:pt>
                <c:pt idx="18">
                  <c:v>شرق</c:v>
                </c:pt>
                <c:pt idx="19">
                  <c:v>فارس</c:v>
                </c:pt>
                <c:pt idx="20">
                  <c:v>غرب</c:v>
                </c:pt>
              </c:strCache>
            </c:strRef>
          </c:cat>
          <c:val>
            <c:numRef>
              <c:f>'49'!$B$22:$B$41</c:f>
              <c:numCache>
                <c:formatCode>#,##0</c:formatCode>
                <c:ptCount val="20"/>
                <c:pt idx="0">
                  <c:v>1128199.4189999998</c:v>
                </c:pt>
                <c:pt idx="1">
                  <c:v>763738.98599999992</c:v>
                </c:pt>
                <c:pt idx="2">
                  <c:v>896889.38900000008</c:v>
                </c:pt>
                <c:pt idx="3">
                  <c:v>820218.076</c:v>
                </c:pt>
                <c:pt idx="4">
                  <c:v>248452.54600000003</c:v>
                </c:pt>
                <c:pt idx="5">
                  <c:v>353847.23099999997</c:v>
                </c:pt>
                <c:pt idx="6">
                  <c:v>958538.26099999982</c:v>
                </c:pt>
                <c:pt idx="7">
                  <c:v>73563.218999999997</c:v>
                </c:pt>
                <c:pt idx="8">
                  <c:v>889929.41599999997</c:v>
                </c:pt>
                <c:pt idx="9">
                  <c:v>357591.32199999999</c:v>
                </c:pt>
                <c:pt idx="10">
                  <c:v>477670.29300000006</c:v>
                </c:pt>
                <c:pt idx="11">
                  <c:v>4050388.2340000002</c:v>
                </c:pt>
                <c:pt idx="12">
                  <c:v>5052840.4720000001</c:v>
                </c:pt>
                <c:pt idx="13">
                  <c:v>730362.96399999992</c:v>
                </c:pt>
                <c:pt idx="14">
                  <c:v>175088.10500000004</c:v>
                </c:pt>
                <c:pt idx="15">
                  <c:v>5575257.8959999988</c:v>
                </c:pt>
                <c:pt idx="16">
                  <c:v>855634.98399999994</c:v>
                </c:pt>
                <c:pt idx="17">
                  <c:v>853616.59799999988</c:v>
                </c:pt>
                <c:pt idx="18">
                  <c:v>4469103.5850000009</c:v>
                </c:pt>
                <c:pt idx="19">
                  <c:v>68800.145000000004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BE-4ADB-915E-429E35EA6595}"/>
            </c:ext>
          </c:extLst>
        </c:ser>
        <c:ser>
          <c:idx val="1"/>
          <c:order val="1"/>
          <c:tx>
            <c:strRef>
              <c:f>'49'!$C$21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80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'49'!$A$22:$A$42</c:f>
              <c:strCache>
                <c:ptCount val="21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شمالشرق1</c:v>
                </c:pt>
                <c:pt idx="7">
                  <c:v>شمالشرق2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یزد</c:v>
                </c:pt>
                <c:pt idx="13">
                  <c:v>كرمان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قم</c:v>
                </c:pt>
                <c:pt idx="17">
                  <c:v>زاگرس</c:v>
                </c:pt>
                <c:pt idx="18">
                  <c:v>شرق</c:v>
                </c:pt>
                <c:pt idx="19">
                  <c:v>فارس</c:v>
                </c:pt>
                <c:pt idx="20">
                  <c:v>غرب</c:v>
                </c:pt>
              </c:strCache>
            </c:strRef>
          </c:cat>
          <c:val>
            <c:numRef>
              <c:f>'49'!$C$22:$C$42</c:f>
              <c:numCache>
                <c:formatCode>#,##0</c:formatCode>
                <c:ptCount val="21"/>
                <c:pt idx="0">
                  <c:v>943636.09</c:v>
                </c:pt>
                <c:pt idx="1">
                  <c:v>630932.10499999998</c:v>
                </c:pt>
                <c:pt idx="2">
                  <c:v>886549.32</c:v>
                </c:pt>
                <c:pt idx="3">
                  <c:v>871125.23</c:v>
                </c:pt>
                <c:pt idx="4">
                  <c:v>360928.712</c:v>
                </c:pt>
                <c:pt idx="5">
                  <c:v>351891.75099999999</c:v>
                </c:pt>
                <c:pt idx="6">
                  <c:v>811723.728</c:v>
                </c:pt>
                <c:pt idx="7">
                  <c:v>94968.611999999994</c:v>
                </c:pt>
                <c:pt idx="8">
                  <c:v>990014.63800000004</c:v>
                </c:pt>
                <c:pt idx="9">
                  <c:v>399435.99900000001</c:v>
                </c:pt>
                <c:pt idx="10">
                  <c:v>609708.48899999994</c:v>
                </c:pt>
                <c:pt idx="11">
                  <c:v>3721606.6680000001</c:v>
                </c:pt>
                <c:pt idx="12">
                  <c:v>5001416.568</c:v>
                </c:pt>
                <c:pt idx="13">
                  <c:v>680444.853</c:v>
                </c:pt>
                <c:pt idx="14">
                  <c:v>212772.16</c:v>
                </c:pt>
                <c:pt idx="15">
                  <c:v>5309997.8689999999</c:v>
                </c:pt>
                <c:pt idx="16">
                  <c:v>877899.84</c:v>
                </c:pt>
                <c:pt idx="17">
                  <c:v>689940.78700000001</c:v>
                </c:pt>
                <c:pt idx="18">
                  <c:v>5024404.3779999996</c:v>
                </c:pt>
                <c:pt idx="19">
                  <c:v>47242.605000000003</c:v>
                </c:pt>
                <c:pt idx="20">
                  <c:v>84279.979000000007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BE-4ADB-915E-429E35EA6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66233984"/>
        <c:axId val="-166238336"/>
      </c:barChart>
      <c:catAx>
        <c:axId val="-16623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66238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662383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662339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631644777986242E-2"/>
                <c:y val="0.10390757973435137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875" b="1" i="0" u="none" strike="noStrike" baseline="0">
                      <a:solidFill>
                        <a:srgbClr val="000099"/>
                      </a:solidFill>
                      <a:latin typeface="B Roya"/>
                      <a:ea typeface="B Roya"/>
                      <a:cs typeface="B Nazanin" panose="00000400000000000000" pitchFamily="2" charset="-78"/>
                    </a:defRPr>
                  </a:pPr>
                  <a:r>
                    <a:rPr lang="fa-IR">
                      <a:solidFill>
                        <a:srgbClr val="000099"/>
                      </a:solidFill>
                      <a:cs typeface="B Nazanin" panose="00000400000000000000" pitchFamily="2" charset="-78"/>
                    </a:rPr>
                    <a:t>ميليارد تن كيلومتر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40326385093047"/>
          <c:y val="0.27788276465441825"/>
          <c:w val="0.10506901459081219"/>
          <c:h val="0.160790317876932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B Mitra"/>
              <a:ea typeface="B Mitra"/>
              <a:cs typeface="B Mitra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نمودار شماره 11 - واحدحمل به تفکیک ماه در سالهاي 1401-1400</a:t>
            </a:r>
          </a:p>
        </c:rich>
      </c:tx>
      <c:layout>
        <c:manualLayout>
          <c:xMode val="edge"/>
          <c:yMode val="edge"/>
          <c:x val="0.18414521218555543"/>
          <c:y val="1.52284883308505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10486891385768"/>
          <c:y val="0.12222222222222222"/>
          <c:w val="0.85580524344569286"/>
          <c:h val="0.705050505050505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'54'!$B$22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('54'!$A$23:$A$34,'54'!$A$35:$A$36)</c:f>
              <c:strCache>
                <c:ptCount val="14"/>
                <c:pt idx="0">
                  <c:v>فروردين </c:v>
                </c:pt>
                <c:pt idx="1">
                  <c:v>ارديبهشت</c:v>
                </c:pt>
                <c:pt idx="2">
                  <c:v>خرداد</c:v>
                </c:pt>
                <c:pt idx="3">
                  <c:v>تير</c:v>
                </c:pt>
                <c:pt idx="4">
                  <c:v>مرداد</c:v>
                </c:pt>
                <c:pt idx="5">
                  <c:v>شهريور</c:v>
                </c:pt>
                <c:pt idx="6">
                  <c:v>مهر</c:v>
                </c:pt>
                <c:pt idx="7">
                  <c:v>آبان</c:v>
                </c:pt>
                <c:pt idx="8">
                  <c:v>آذر</c:v>
                </c:pt>
                <c:pt idx="9">
                  <c:v>دي</c:v>
                </c:pt>
                <c:pt idx="10">
                  <c:v>بهمن</c:v>
                </c:pt>
                <c:pt idx="11">
                  <c:v>اسفند</c:v>
                </c:pt>
                <c:pt idx="13">
                  <c:v>ميانگين </c:v>
                </c:pt>
              </c:strCache>
            </c:strRef>
          </c:cat>
          <c:val>
            <c:numRef>
              <c:f>('54'!$B$23:$B$34,'54'!$B$35:$B$36)</c:f>
              <c:numCache>
                <c:formatCode>#,##0</c:formatCode>
                <c:ptCount val="14"/>
                <c:pt idx="0">
                  <c:v>4010018.0670000003</c:v>
                </c:pt>
                <c:pt idx="1">
                  <c:v>4001557.6749999998</c:v>
                </c:pt>
                <c:pt idx="2">
                  <c:v>4059266.7809999995</c:v>
                </c:pt>
                <c:pt idx="3">
                  <c:v>3656207.233</c:v>
                </c:pt>
                <c:pt idx="4">
                  <c:v>3728240.6710000001</c:v>
                </c:pt>
                <c:pt idx="5">
                  <c:v>3979489.37</c:v>
                </c:pt>
                <c:pt idx="6">
                  <c:v>3942037.159</c:v>
                </c:pt>
                <c:pt idx="7">
                  <c:v>3905639.7169999997</c:v>
                </c:pt>
                <c:pt idx="8">
                  <c:v>3676039.3449999997</c:v>
                </c:pt>
                <c:pt idx="9">
                  <c:v>3553160.8870000001</c:v>
                </c:pt>
                <c:pt idx="10">
                  <c:v>3733077.4309999999</c:v>
                </c:pt>
                <c:pt idx="11">
                  <c:v>3484968.4810000006</c:v>
                </c:pt>
                <c:pt idx="13">
                  <c:v>3810808.5680833333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A1-4AC2-A692-6ECCA4D7F1D4}"/>
            </c:ext>
          </c:extLst>
        </c:ser>
        <c:ser>
          <c:idx val="1"/>
          <c:order val="1"/>
          <c:tx>
            <c:strRef>
              <c:f>'54'!$C$22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80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('54'!$A$23:$A$34,'54'!$A$35:$A$36)</c:f>
              <c:strCache>
                <c:ptCount val="14"/>
                <c:pt idx="0">
                  <c:v>فروردين </c:v>
                </c:pt>
                <c:pt idx="1">
                  <c:v>ارديبهشت</c:v>
                </c:pt>
                <c:pt idx="2">
                  <c:v>خرداد</c:v>
                </c:pt>
                <c:pt idx="3">
                  <c:v>تير</c:v>
                </c:pt>
                <c:pt idx="4">
                  <c:v>مرداد</c:v>
                </c:pt>
                <c:pt idx="5">
                  <c:v>شهريور</c:v>
                </c:pt>
                <c:pt idx="6">
                  <c:v>مهر</c:v>
                </c:pt>
                <c:pt idx="7">
                  <c:v>آبان</c:v>
                </c:pt>
                <c:pt idx="8">
                  <c:v>آذر</c:v>
                </c:pt>
                <c:pt idx="9">
                  <c:v>دي</c:v>
                </c:pt>
                <c:pt idx="10">
                  <c:v>بهمن</c:v>
                </c:pt>
                <c:pt idx="11">
                  <c:v>اسفند</c:v>
                </c:pt>
                <c:pt idx="13">
                  <c:v>ميانگين </c:v>
                </c:pt>
              </c:strCache>
            </c:strRef>
          </c:cat>
          <c:val>
            <c:numRef>
              <c:f>('54'!$C$23:$C$34,'54'!$C$35:$C$36)</c:f>
              <c:numCache>
                <c:formatCode>#,##0</c:formatCode>
                <c:ptCount val="14"/>
                <c:pt idx="0">
                  <c:v>3857589.5159999998</c:v>
                </c:pt>
                <c:pt idx="1">
                  <c:v>3821100.8703290522</c:v>
                </c:pt>
                <c:pt idx="2">
                  <c:v>3666733.1342869112</c:v>
                </c:pt>
                <c:pt idx="3">
                  <c:v>3603173.6503769439</c:v>
                </c:pt>
                <c:pt idx="4">
                  <c:v>3502604.8732869113</c:v>
                </c:pt>
                <c:pt idx="5">
                  <c:v>3630320.1166465385</c:v>
                </c:pt>
                <c:pt idx="6">
                  <c:v>3782766.9995630393</c:v>
                </c:pt>
                <c:pt idx="7">
                  <c:v>3664936.8999226661</c:v>
                </c:pt>
                <c:pt idx="8">
                  <c:v>3622569.5168326339</c:v>
                </c:pt>
                <c:pt idx="9">
                  <c:v>3639056.2529226663</c:v>
                </c:pt>
                <c:pt idx="10">
                  <c:v>3750060.6718326337</c:v>
                </c:pt>
                <c:pt idx="11">
                  <c:v>3550423.6739999996</c:v>
                </c:pt>
                <c:pt idx="13">
                  <c:v>3674278.0146666667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A1-4AC2-A692-6ECCA4D7F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-1713975184"/>
        <c:axId val="-1713970832"/>
      </c:barChart>
      <c:catAx>
        <c:axId val="-171397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13970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713970832"/>
        <c:scaling>
          <c:orientation val="minMax"/>
          <c:max val="500000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139751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4981300805574096E-2"/>
                <c:y val="0.12944178478171695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800" b="1" i="0" u="none" strike="noStrike" baseline="0">
                      <a:solidFill>
                        <a:srgbClr val="000099"/>
                      </a:solidFill>
                      <a:latin typeface="B Mitra"/>
                      <a:ea typeface="B Mitra"/>
                      <a:cs typeface="B Nazanin" panose="00000400000000000000" pitchFamily="2" charset="-78"/>
                    </a:defRPr>
                  </a:pPr>
                  <a:r>
                    <a:rPr lang="fa-IR">
                      <a:solidFill>
                        <a:srgbClr val="000099"/>
                      </a:solidFill>
                      <a:cs typeface="B Nazanin" panose="00000400000000000000" pitchFamily="2" charset="-78"/>
                    </a:rPr>
                    <a:t>ميليارد واحدحمل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777905570792417"/>
          <c:y val="0.1329948215932468"/>
          <c:w val="9.7381422827764463E-2"/>
          <c:h val="0.1434393133290771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1">
              <a:defRPr sz="1050" b="0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r>
              <a:rPr lang="en-US" sz="1100" b="1" i="0" u="none" strike="noStrike" baseline="0">
                <a:solidFill>
                  <a:srgbClr val="003366"/>
                </a:solidFill>
                <a:cs typeface="B Roya"/>
              </a:rPr>
              <a:t>نمودار شماره</a:t>
            </a:r>
            <a:r>
              <a:rPr lang="fa-IR" sz="1100" b="1" i="0" u="none" strike="noStrike" baseline="0">
                <a:solidFill>
                  <a:srgbClr val="003366"/>
                </a:solidFill>
                <a:cs typeface="B Roya"/>
              </a:rPr>
              <a:t>12</a:t>
            </a:r>
            <a:r>
              <a:rPr lang="en-US" sz="1100" b="1" i="0" u="none" strike="noStrike" baseline="0">
                <a:solidFill>
                  <a:srgbClr val="003366"/>
                </a:solidFill>
                <a:cs typeface="B Roya"/>
              </a:rPr>
              <a:t>  - تناژ بار بارگيري شده به تفكيك مناطق در سال</a:t>
            </a:r>
            <a:r>
              <a:rPr lang="fa-IR" sz="1100" b="1" i="0" u="none" strike="noStrike" baseline="0">
                <a:solidFill>
                  <a:srgbClr val="003366"/>
                </a:solidFill>
                <a:cs typeface="B Roya"/>
              </a:rPr>
              <a:t>1403</a:t>
            </a:r>
            <a:endParaRPr lang="en-US" sz="1100" b="1" i="0" u="none" strike="noStrike" baseline="0">
              <a:solidFill>
                <a:srgbClr val="003366"/>
              </a:solidFill>
              <a:cs typeface="B Roya"/>
            </a:endParaRPr>
          </a:p>
        </c:rich>
      </c:tx>
      <c:layout>
        <c:manualLayout>
          <c:xMode val="edge"/>
          <c:yMode val="edge"/>
          <c:x val="0.19115129596142255"/>
          <c:y val="1.3925171118316091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3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474558059037066"/>
          <c:y val="0.39673221001254716"/>
          <c:w val="0.40897324543292846"/>
          <c:h val="0.3269603554457653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6"/>
          <c:dPt>
            <c:idx val="0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151-47AB-9CFF-610D36FF9410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151-47AB-9CFF-610D36FF9410}"/>
              </c:ext>
            </c:extLst>
          </c:dPt>
          <c:dPt>
            <c:idx val="2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151-47AB-9CFF-610D36FF9410}"/>
              </c:ext>
            </c:extLst>
          </c:dPt>
          <c:dPt>
            <c:idx val="3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151-47AB-9CFF-610D36FF9410}"/>
              </c:ext>
            </c:extLst>
          </c:dPt>
          <c:dPt>
            <c:idx val="4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151-47AB-9CFF-610D36FF9410}"/>
              </c:ext>
            </c:extLst>
          </c:dPt>
          <c:dPt>
            <c:idx val="5"/>
            <c:bubble3D val="0"/>
            <c:spPr>
              <a:solidFill>
                <a:srgbClr val="FF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9151-47AB-9CFF-610D36FF9410}"/>
              </c:ext>
            </c:extLst>
          </c:dPt>
          <c:dPt>
            <c:idx val="6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9151-47AB-9CFF-610D36FF9410}"/>
              </c:ext>
            </c:extLst>
          </c:dPt>
          <c:dPt>
            <c:idx val="7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9151-47AB-9CFF-610D36FF9410}"/>
              </c:ext>
            </c:extLst>
          </c:dPt>
          <c:dPt>
            <c:idx val="8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9151-47AB-9CFF-610D36FF9410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9151-47AB-9CFF-610D36FF9410}"/>
              </c:ext>
            </c:extLst>
          </c:dPt>
          <c:dPt>
            <c:idx val="1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9151-47AB-9CFF-610D36FF9410}"/>
              </c:ext>
            </c:extLst>
          </c:dPt>
          <c:dPt>
            <c:idx val="11"/>
            <c:bubble3D val="0"/>
            <c:spPr>
              <a:pattFill prst="pct90">
                <a:fgClr>
                  <a:srgbClr val="00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9151-47AB-9CFF-610D36FF9410}"/>
              </c:ext>
            </c:extLst>
          </c:dPt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9151-47AB-9CFF-610D36FF9410}"/>
              </c:ext>
            </c:extLst>
          </c:dPt>
          <c:dPt>
            <c:idx val="13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9151-47AB-9CFF-610D36FF94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C-9151-47AB-9CFF-610D36FF94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D-9151-47AB-9CFF-610D36FF94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E-9151-47AB-9CFF-610D36FF9410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1F-9151-47AB-9CFF-610D36FF9410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20-9151-47AB-9CFF-610D36FF9410}"/>
              </c:ext>
            </c:extLst>
          </c:dPt>
          <c:dLbls>
            <c:dLbl>
              <c:idx val="0"/>
              <c:layout>
                <c:manualLayout>
                  <c:x val="-0.10604703446146437"/>
                  <c:y val="-8.0584430817594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51-47AB-9CFF-610D36FF9410}"/>
                </c:ext>
              </c:extLst>
            </c:dLbl>
            <c:dLbl>
              <c:idx val="1"/>
              <c:layout>
                <c:manualLayout>
                  <c:x val="-0.20203367067421749"/>
                  <c:y val="-0.1684366566124369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51-47AB-9CFF-610D36FF9410}"/>
                </c:ext>
              </c:extLst>
            </c:dLbl>
            <c:dLbl>
              <c:idx val="2"/>
              <c:layout>
                <c:manualLayout>
                  <c:x val="-0.15207821664296636"/>
                  <c:y val="-0.154146696743083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51-47AB-9CFF-610D36FF9410}"/>
                </c:ext>
              </c:extLst>
            </c:dLbl>
            <c:dLbl>
              <c:idx val="3"/>
              <c:layout>
                <c:manualLayout>
                  <c:x val="-0.11608550154123283"/>
                  <c:y val="-0.144834513550783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51-47AB-9CFF-610D36FF9410}"/>
                </c:ext>
              </c:extLst>
            </c:dLbl>
            <c:dLbl>
              <c:idx val="4"/>
              <c:layout>
                <c:manualLayout>
                  <c:x val="-7.1977476430793788E-2"/>
                  <c:y val="-0.15683631537435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51-47AB-9CFF-610D36FF9410}"/>
                </c:ext>
              </c:extLst>
            </c:dLbl>
            <c:dLbl>
              <c:idx val="5"/>
              <c:layout>
                <c:manualLayout>
                  <c:x val="6.2154945930442745E-3"/>
                  <c:y val="-0.1527532174804500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51-47AB-9CFF-610D36FF9410}"/>
                </c:ext>
              </c:extLst>
            </c:dLbl>
            <c:dLbl>
              <c:idx val="6"/>
              <c:layout>
                <c:manualLayout>
                  <c:x val="8.6655027645988189E-2"/>
                  <c:y val="-0.158571519796759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51-47AB-9CFF-610D36FF9410}"/>
                </c:ext>
              </c:extLst>
            </c:dLbl>
            <c:dLbl>
              <c:idx val="7"/>
              <c:layout>
                <c:manualLayout>
                  <c:x val="0.13824660596423105"/>
                  <c:y val="-0.150124004811766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51-47AB-9CFF-610D36FF9410}"/>
                </c:ext>
              </c:extLst>
            </c:dLbl>
            <c:dLbl>
              <c:idx val="8"/>
              <c:layout>
                <c:manualLayout>
                  <c:x val="0.18119167588452115"/>
                  <c:y val="-8.073860959281203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51-47AB-9CFF-610D36FF9410}"/>
                </c:ext>
              </c:extLst>
            </c:dLbl>
            <c:dLbl>
              <c:idx val="9"/>
              <c:layout>
                <c:manualLayout>
                  <c:x val="0.23010434781620651"/>
                  <c:y val="2.39825478544664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51-47AB-9CFF-610D36FF9410}"/>
                </c:ext>
              </c:extLst>
            </c:dLbl>
            <c:dLbl>
              <c:idx val="10"/>
              <c:layout>
                <c:manualLayout>
                  <c:x val="0.25867973938323041"/>
                  <c:y val="0.1119027201826318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51-47AB-9CFF-610D36FF9410}"/>
                </c:ext>
              </c:extLst>
            </c:dLbl>
            <c:dLbl>
              <c:idx val="11"/>
              <c:layout>
                <c:manualLayout>
                  <c:x val="0.21744510931530683"/>
                  <c:y val="0.1988082293508534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042487512498827E-2"/>
                      <c:h val="0.139505743997917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9151-47AB-9CFF-610D36FF9410}"/>
                </c:ext>
              </c:extLst>
            </c:dLbl>
            <c:dLbl>
              <c:idx val="12"/>
              <c:layout>
                <c:manualLayout>
                  <c:x val="0.11619458185217989"/>
                  <c:y val="7.87507356583300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51-47AB-9CFF-610D36FF9410}"/>
                </c:ext>
              </c:extLst>
            </c:dLbl>
            <c:dLbl>
              <c:idx val="13"/>
              <c:layout>
                <c:manualLayout>
                  <c:x val="0.22353542456749073"/>
                  <c:y val="8.61526595444758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51-47AB-9CFF-610D36FF9410}"/>
                </c:ext>
              </c:extLst>
            </c:dLbl>
            <c:dLbl>
              <c:idx val="14"/>
              <c:layout>
                <c:manualLayout>
                  <c:x val="1.3804666907489632E-2"/>
                  <c:y val="0.10564320037757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51-47AB-9CFF-610D36FF9410}"/>
                </c:ext>
              </c:extLst>
            </c:dLbl>
            <c:dLbl>
              <c:idx val="15"/>
              <c:layout>
                <c:manualLayout>
                  <c:x val="-4.782395195315306E-2"/>
                  <c:y val="0.1857044974827972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51-47AB-9CFF-610D36FF9410}"/>
                </c:ext>
              </c:extLst>
            </c:dLbl>
            <c:dLbl>
              <c:idx val="16"/>
              <c:layout>
                <c:manualLayout>
                  <c:x val="-0.12066985775968965"/>
                  <c:y val="0.197758438139338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51-47AB-9CFF-610D36FF9410}"/>
                </c:ext>
              </c:extLst>
            </c:dLbl>
            <c:dLbl>
              <c:idx val="17"/>
              <c:layout>
                <c:manualLayout>
                  <c:x val="-0.19617653908711488"/>
                  <c:y val="2.25214281786203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151-47AB-9CFF-610D36FF9410}"/>
                </c:ext>
              </c:extLst>
            </c:dLbl>
            <c:dLbl>
              <c:idx val="18"/>
              <c:layout>
                <c:manualLayout>
                  <c:x val="-0.10171618447341114"/>
                  <c:y val="4.001759780250217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151-47AB-9CFF-610D36FF9410}"/>
                </c:ext>
              </c:extLst>
            </c:dLbl>
            <c:dLbl>
              <c:idx val="19"/>
              <c:layout>
                <c:manualLayout>
                  <c:x val="-0.17743311406364595"/>
                  <c:y val="-4.83403559795982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151-47AB-9CFF-610D36FF9410}"/>
                </c:ext>
              </c:extLst>
            </c:dLbl>
            <c:dLbl>
              <c:idx val="20"/>
              <c:layout>
                <c:manualLayout>
                  <c:x val="-0.21609860001834483"/>
                  <c:y val="-0.1810875135655528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151-47AB-9CFF-610D36FF941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B Roya"/>
                    <a:ea typeface="B Roya"/>
                    <a:cs typeface="B Roya"/>
                  </a:defRPr>
                </a:pPr>
                <a:endParaRPr lang="prs-AF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'41'!$A$22:$A$42</c:f>
              <c:strCache>
                <c:ptCount val="21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</c:v>
                </c:pt>
                <c:pt idx="7">
                  <c:v>شمالشرق2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يزد</c:v>
                </c:pt>
                <c:pt idx="13">
                  <c:v>کرمان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قم</c:v>
                </c:pt>
                <c:pt idx="17">
                  <c:v>زاگرس</c:v>
                </c:pt>
                <c:pt idx="18">
                  <c:v>شرق</c:v>
                </c:pt>
                <c:pt idx="19">
                  <c:v>فارس</c:v>
                </c:pt>
                <c:pt idx="20">
                  <c:v>غرب</c:v>
                </c:pt>
              </c:strCache>
            </c:strRef>
          </c:cat>
          <c:val>
            <c:numRef>
              <c:f>'41'!$C$22:$C$42</c:f>
              <c:numCache>
                <c:formatCode>#,##0</c:formatCode>
                <c:ptCount val="21"/>
                <c:pt idx="0">
                  <c:v>3343722</c:v>
                </c:pt>
                <c:pt idx="1">
                  <c:v>185870</c:v>
                </c:pt>
                <c:pt idx="2">
                  <c:v>1283300</c:v>
                </c:pt>
                <c:pt idx="3">
                  <c:v>1670992</c:v>
                </c:pt>
                <c:pt idx="4">
                  <c:v>149090</c:v>
                </c:pt>
                <c:pt idx="5">
                  <c:v>975175</c:v>
                </c:pt>
                <c:pt idx="6">
                  <c:v>355751</c:v>
                </c:pt>
                <c:pt idx="7">
                  <c:v>690773</c:v>
                </c:pt>
                <c:pt idx="8">
                  <c:v>3065206</c:v>
                </c:pt>
                <c:pt idx="9">
                  <c:v>342287</c:v>
                </c:pt>
                <c:pt idx="10">
                  <c:v>1270471</c:v>
                </c:pt>
                <c:pt idx="11">
                  <c:v>2654015</c:v>
                </c:pt>
                <c:pt idx="12">
                  <c:v>10572512</c:v>
                </c:pt>
                <c:pt idx="13">
                  <c:v>743164</c:v>
                </c:pt>
                <c:pt idx="14">
                  <c:v>119989</c:v>
                </c:pt>
                <c:pt idx="15">
                  <c:v>5583412</c:v>
                </c:pt>
                <c:pt idx="16">
                  <c:v>247229</c:v>
                </c:pt>
                <c:pt idx="17">
                  <c:v>176568</c:v>
                </c:pt>
                <c:pt idx="18">
                  <c:v>6213775</c:v>
                </c:pt>
                <c:pt idx="19">
                  <c:v>558515</c:v>
                </c:pt>
                <c:pt idx="20">
                  <c:v>309780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9151-47AB-9CFF-610D36FF9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1">
              <a:defRPr sz="1050" b="0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r>
              <a:rPr lang="en-US" sz="1100" b="1" i="0" u="none" strike="noStrike" baseline="0">
                <a:solidFill>
                  <a:srgbClr val="003366"/>
                </a:solidFill>
                <a:cs typeface="B Roya"/>
              </a:rPr>
              <a:t>نمودار شماره</a:t>
            </a:r>
            <a:r>
              <a:rPr lang="fa-IR" sz="1100" b="1" i="0" u="none" strike="noStrike" baseline="0">
                <a:solidFill>
                  <a:srgbClr val="003366"/>
                </a:solidFill>
                <a:cs typeface="B Roya"/>
              </a:rPr>
              <a:t> 13- </a:t>
            </a:r>
            <a:r>
              <a:rPr lang="en-US" sz="1100" b="1" i="0" u="none" strike="noStrike" baseline="0">
                <a:solidFill>
                  <a:srgbClr val="003366"/>
                </a:solidFill>
                <a:cs typeface="B Roya"/>
              </a:rPr>
              <a:t> تن كيلومتربار مرزي به تفكيك مناطق در سال </a:t>
            </a:r>
            <a:r>
              <a:rPr lang="fa-IR" sz="1100" b="1" i="0" u="none" strike="noStrike" baseline="0">
                <a:solidFill>
                  <a:srgbClr val="003366"/>
                </a:solidFill>
                <a:cs typeface="B Roya"/>
              </a:rPr>
              <a:t>1403</a:t>
            </a:r>
            <a:endParaRPr lang="en-US" sz="1100" b="1" i="0" u="none" strike="noStrike" baseline="0">
              <a:solidFill>
                <a:srgbClr val="003366"/>
              </a:solidFill>
              <a:cs typeface="B Roya"/>
            </a:endParaRPr>
          </a:p>
        </c:rich>
      </c:tx>
      <c:layout>
        <c:manualLayout>
          <c:xMode val="edge"/>
          <c:yMode val="edge"/>
          <c:x val="0.20104683665444345"/>
          <c:y val="1.280082936341421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2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060083878414481"/>
          <c:y val="0.42105102792750276"/>
          <c:w val="0.39671586480097121"/>
          <c:h val="0.3176724045141045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8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85E-43A3-A531-A587332BA61B}"/>
              </c:ext>
            </c:extLst>
          </c:dPt>
          <c:dPt>
            <c:idx val="1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85E-43A3-A531-A587332BA61B}"/>
              </c:ext>
            </c:extLst>
          </c:dPt>
          <c:dPt>
            <c:idx val="2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85E-43A3-A531-A587332BA61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85E-43A3-A531-A587332BA61B}"/>
              </c:ext>
            </c:extLst>
          </c:dPt>
          <c:dPt>
            <c:idx val="4"/>
            <c:bubble3D val="0"/>
            <c:spPr>
              <a:pattFill prst="pct90">
                <a:fgClr>
                  <a:srgbClr val="00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85E-43A3-A531-A587332BA61B}"/>
              </c:ext>
            </c:extLst>
          </c:dPt>
          <c:dPt>
            <c:idx val="5"/>
            <c:bubble3D val="0"/>
            <c:spPr>
              <a:solidFill>
                <a:srgbClr val="FF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F85E-43A3-A531-A587332BA61B}"/>
              </c:ext>
            </c:extLst>
          </c:dPt>
          <c:dPt>
            <c:idx val="6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F85E-43A3-A531-A587332BA61B}"/>
              </c:ext>
            </c:extLst>
          </c:dPt>
          <c:dPt>
            <c:idx val="7"/>
            <c:bubble3D val="0"/>
            <c:spPr>
              <a:pattFill prst="pct80">
                <a:fgClr>
                  <a:srgbClr val="00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F85E-43A3-A531-A587332BA61B}"/>
              </c:ext>
            </c:extLst>
          </c:dPt>
          <c:dPt>
            <c:idx val="8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F85E-43A3-A531-A587332BA61B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F85E-43A3-A531-A587332BA61B}"/>
              </c:ext>
            </c:extLst>
          </c:dPt>
          <c:dPt>
            <c:idx val="1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F85E-43A3-A531-A587332BA61B}"/>
              </c:ext>
            </c:extLst>
          </c:dPt>
          <c:dPt>
            <c:idx val="1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F85E-43A3-A531-A587332BA61B}"/>
              </c:ext>
            </c:extLst>
          </c:dPt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F85E-43A3-A531-A587332BA61B}"/>
              </c:ext>
            </c:extLst>
          </c:dPt>
          <c:dPt>
            <c:idx val="13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F85E-43A3-A531-A587332BA6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C-F85E-43A3-A531-A587332BA6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D-F85E-43A3-A531-A587332BA6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E-F85E-43A3-A531-A587332BA61B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1F-F85E-43A3-A531-A587332BA61B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20-F85E-43A3-A531-A587332BA61B}"/>
              </c:ext>
            </c:extLst>
          </c:dPt>
          <c:dLbls>
            <c:dLbl>
              <c:idx val="0"/>
              <c:layout>
                <c:manualLayout>
                  <c:x val="-0.23163028318511134"/>
                  <c:y val="4.629292000960440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5E-43A3-A531-A587332BA61B}"/>
                </c:ext>
              </c:extLst>
            </c:dLbl>
            <c:dLbl>
              <c:idx val="1"/>
              <c:layout>
                <c:manualLayout>
                  <c:x val="-0.225818793740234"/>
                  <c:y val="-4.783592902622184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5E-43A3-A531-A587332BA61B}"/>
                </c:ext>
              </c:extLst>
            </c:dLbl>
            <c:dLbl>
              <c:idx val="2"/>
              <c:layout>
                <c:manualLayout>
                  <c:x val="-0.19031337771108639"/>
                  <c:y val="-0.130876242993285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5E-43A3-A531-A587332BA61B}"/>
                </c:ext>
              </c:extLst>
            </c:dLbl>
            <c:dLbl>
              <c:idx val="3"/>
              <c:layout>
                <c:manualLayout>
                  <c:x val="-0.1583190895793187"/>
                  <c:y val="-0.145664489099745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5E-43A3-A531-A587332BA61B}"/>
                </c:ext>
              </c:extLst>
            </c:dLbl>
            <c:dLbl>
              <c:idx val="4"/>
              <c:layout>
                <c:manualLayout>
                  <c:x val="-9.7887576610980909E-2"/>
                  <c:y val="-0.153957127598797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5E-43A3-A531-A587332BA61B}"/>
                </c:ext>
              </c:extLst>
            </c:dLbl>
            <c:dLbl>
              <c:idx val="5"/>
              <c:layout>
                <c:manualLayout>
                  <c:x val="-1.6507064788570561E-2"/>
                  <c:y val="-0.1753969712776439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5E-43A3-A531-A587332BA61B}"/>
                </c:ext>
              </c:extLst>
            </c:dLbl>
            <c:dLbl>
              <c:idx val="6"/>
              <c:layout>
                <c:manualLayout>
                  <c:x val="7.3181893967491349E-2"/>
                  <c:y val="-0.191174478584498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5E-43A3-A531-A587332BA61B}"/>
                </c:ext>
              </c:extLst>
            </c:dLbl>
            <c:dLbl>
              <c:idx val="7"/>
              <c:layout>
                <c:manualLayout>
                  <c:x val="0.14171505006202223"/>
                  <c:y val="-0.170845773615837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5E-43A3-A531-A587332BA61B}"/>
                </c:ext>
              </c:extLst>
            </c:dLbl>
            <c:dLbl>
              <c:idx val="8"/>
              <c:layout>
                <c:manualLayout>
                  <c:x val="0.20743693825171147"/>
                  <c:y val="-0.172995811347855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5E-43A3-A531-A587332BA61B}"/>
                </c:ext>
              </c:extLst>
            </c:dLbl>
            <c:dLbl>
              <c:idx val="9"/>
              <c:layout>
                <c:manualLayout>
                  <c:x val="0.23533122343530624"/>
                  <c:y val="-6.979918281885494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5E-43A3-A531-A587332BA61B}"/>
                </c:ext>
              </c:extLst>
            </c:dLbl>
            <c:dLbl>
              <c:idx val="10"/>
              <c:layout>
                <c:manualLayout>
                  <c:x val="0.27994739527299206"/>
                  <c:y val="3.82397178083495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5E-43A3-A531-A587332BA61B}"/>
                </c:ext>
              </c:extLst>
            </c:dLbl>
            <c:dLbl>
              <c:idx val="11"/>
              <c:layout>
                <c:manualLayout>
                  <c:x val="0.23024066225389214"/>
                  <c:y val="0.110436432769304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5E-43A3-A531-A587332BA61B}"/>
                </c:ext>
              </c:extLst>
            </c:dLbl>
            <c:dLbl>
              <c:idx val="12"/>
              <c:layout>
                <c:manualLayout>
                  <c:x val="0.13409223147357355"/>
                  <c:y val="2.996497677537934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5E-43A3-A531-A587332BA61B}"/>
                </c:ext>
              </c:extLst>
            </c:dLbl>
            <c:dLbl>
              <c:idx val="13"/>
              <c:layout>
                <c:manualLayout>
                  <c:x val="0.11555174356054941"/>
                  <c:y val="5.579963615271588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5E-43A3-A531-A587332BA61B}"/>
                </c:ext>
              </c:extLst>
            </c:dLbl>
            <c:dLbl>
              <c:idx val="14"/>
              <c:layout>
                <c:manualLayout>
                  <c:x val="9.2290449495119348E-3"/>
                  <c:y val="0.104511504995523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5E-43A3-A531-A587332BA61B}"/>
                </c:ext>
              </c:extLst>
            </c:dLbl>
            <c:dLbl>
              <c:idx val="15"/>
              <c:layout>
                <c:manualLayout>
                  <c:x val="5.3268693583948049E-2"/>
                  <c:y val="8.37046609732654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5E-43A3-A531-A587332BA61B}"/>
                </c:ext>
              </c:extLst>
            </c:dLbl>
            <c:dLbl>
              <c:idx val="16"/>
              <c:layout>
                <c:manualLayout>
                  <c:x val="2.6892455506399647E-2"/>
                  <c:y val="0.128393105021071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5E-43A3-A531-A587332BA61B}"/>
                </c:ext>
              </c:extLst>
            </c:dLbl>
            <c:dLbl>
              <c:idx val="17"/>
              <c:layout>
                <c:manualLayout>
                  <c:x val="-3.7204742928544893E-2"/>
                  <c:y val="0.1195031099883056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5E-43A3-A531-A587332BA61B}"/>
                </c:ext>
              </c:extLst>
            </c:dLbl>
            <c:dLbl>
              <c:idx val="18"/>
              <c:layout>
                <c:manualLayout>
                  <c:x val="-7.4819414358563624E-2"/>
                  <c:y val="0.168412487994115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5E-43A3-A531-A587332BA61B}"/>
                </c:ext>
              </c:extLst>
            </c:dLbl>
            <c:dLbl>
              <c:idx val="19"/>
              <c:layout>
                <c:manualLayout>
                  <c:x val="-0.13632994736512014"/>
                  <c:y val="0.280910791463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85E-43A3-A531-A587332BA61B}"/>
                </c:ext>
              </c:extLst>
            </c:dLbl>
            <c:dLbl>
              <c:idx val="20"/>
              <c:layout>
                <c:manualLayout>
                  <c:x val="-0.17664541290157615"/>
                  <c:y val="0.1327528854908519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85E-43A3-A531-A587332BA61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B Roya"/>
                    <a:ea typeface="B Roya"/>
                    <a:cs typeface="B Roya"/>
                  </a:defRPr>
                </a:pPr>
                <a:endParaRPr lang="prs-AF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'49'!$A$22:$A$42</c:f>
              <c:strCache>
                <c:ptCount val="21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شمالشرق1</c:v>
                </c:pt>
                <c:pt idx="7">
                  <c:v>شمالشرق2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یزد</c:v>
                </c:pt>
                <c:pt idx="13">
                  <c:v>كرمان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قم</c:v>
                </c:pt>
                <c:pt idx="17">
                  <c:v>زاگرس</c:v>
                </c:pt>
                <c:pt idx="18">
                  <c:v>شرق</c:v>
                </c:pt>
                <c:pt idx="19">
                  <c:v>فارس</c:v>
                </c:pt>
                <c:pt idx="20">
                  <c:v>غرب</c:v>
                </c:pt>
              </c:strCache>
            </c:strRef>
          </c:cat>
          <c:val>
            <c:numRef>
              <c:f>'49'!$C$22:$C$42</c:f>
              <c:numCache>
                <c:formatCode>#,##0</c:formatCode>
                <c:ptCount val="21"/>
                <c:pt idx="0">
                  <c:v>943636.09</c:v>
                </c:pt>
                <c:pt idx="1">
                  <c:v>630932.10499999998</c:v>
                </c:pt>
                <c:pt idx="2">
                  <c:v>886549.32</c:v>
                </c:pt>
                <c:pt idx="3">
                  <c:v>871125.23</c:v>
                </c:pt>
                <c:pt idx="4">
                  <c:v>360928.712</c:v>
                </c:pt>
                <c:pt idx="5">
                  <c:v>351891.75099999999</c:v>
                </c:pt>
                <c:pt idx="6">
                  <c:v>811723.728</c:v>
                </c:pt>
                <c:pt idx="7">
                  <c:v>94968.611999999994</c:v>
                </c:pt>
                <c:pt idx="8">
                  <c:v>990014.63800000004</c:v>
                </c:pt>
                <c:pt idx="9">
                  <c:v>399435.99900000001</c:v>
                </c:pt>
                <c:pt idx="10">
                  <c:v>609708.48899999994</c:v>
                </c:pt>
                <c:pt idx="11">
                  <c:v>3721606.6680000001</c:v>
                </c:pt>
                <c:pt idx="12">
                  <c:v>5001416.568</c:v>
                </c:pt>
                <c:pt idx="13">
                  <c:v>680444.853</c:v>
                </c:pt>
                <c:pt idx="14">
                  <c:v>212772.16</c:v>
                </c:pt>
                <c:pt idx="15">
                  <c:v>5309997.8689999999</c:v>
                </c:pt>
                <c:pt idx="16">
                  <c:v>877899.84</c:v>
                </c:pt>
                <c:pt idx="17">
                  <c:v>689940.78700000001</c:v>
                </c:pt>
                <c:pt idx="18">
                  <c:v>5024404.3779999996</c:v>
                </c:pt>
                <c:pt idx="19">
                  <c:v>47242.605000000003</c:v>
                </c:pt>
                <c:pt idx="20">
                  <c:v>84279.979000000007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85E-43A3-A531-A587332BA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99"/>
                </a:solidFill>
                <a:latin typeface="B Roya"/>
                <a:ea typeface="B Roya"/>
                <a:cs typeface="B Roya"/>
              </a:defRPr>
            </a:pPr>
            <a:r>
              <a:rPr lang="fa-IR" sz="900">
                <a:solidFill>
                  <a:srgbClr val="000099"/>
                </a:solidFill>
              </a:rPr>
              <a:t>پ -  تعدادواگن هاي باري آماده بکار</a:t>
            </a:r>
          </a:p>
        </c:rich>
      </c:tx>
      <c:layout>
        <c:manualLayout>
          <c:xMode val="edge"/>
          <c:yMode val="edge"/>
          <c:x val="0.30797227269668215"/>
          <c:y val="2.7777963924722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130434782608695"/>
          <c:y val="0.1605899081126656"/>
          <c:w val="0.82246376811594202"/>
          <c:h val="0.69067036311931063"/>
        </c:manualLayout>
      </c:layout>
      <c:lineChart>
        <c:grouping val="standard"/>
        <c:varyColors val="0"/>
        <c:ser>
          <c:idx val="0"/>
          <c:order val="0"/>
          <c:tx>
            <c:strRef>
              <c:f>'18'!$A$6:$C$6</c:f>
              <c:strCache>
                <c:ptCount val="3"/>
                <c:pt idx="0">
                  <c:v>تعداد واگن هاي باري آماده به کار*</c:v>
                </c:pt>
              </c:strCache>
            </c:strRef>
          </c:tx>
          <c:spPr>
            <a:ln w="38100">
              <a:solidFill>
                <a:srgbClr val="33CC33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'18'!$E$2:$N$2</c:f>
              <c:numCache>
                <c:formatCode>General</c:formatCode>
                <c:ptCount val="10"/>
                <c:pt idx="0">
                  <c:v>1394</c:v>
                </c:pt>
                <c:pt idx="1">
                  <c:v>1395</c:v>
                </c:pt>
                <c:pt idx="2">
                  <c:v>1396</c:v>
                </c:pt>
                <c:pt idx="3">
                  <c:v>1397</c:v>
                </c:pt>
                <c:pt idx="4">
                  <c:v>1398</c:v>
                </c:pt>
                <c:pt idx="5">
                  <c:v>1399</c:v>
                </c:pt>
                <c:pt idx="6">
                  <c:v>1400</c:v>
                </c:pt>
                <c:pt idx="7">
                  <c:v>1401</c:v>
                </c:pt>
                <c:pt idx="8">
                  <c:v>1402</c:v>
                </c:pt>
                <c:pt idx="9">
                  <c:v>1403</c:v>
                </c:pt>
              </c:numCache>
            </c:numRef>
          </c:cat>
          <c:val>
            <c:numRef>
              <c:f>'18'!$E$6:$N$6</c:f>
              <c:numCache>
                <c:formatCode>#,##0</c:formatCode>
                <c:ptCount val="10"/>
                <c:pt idx="0">
                  <c:v>21651</c:v>
                </c:pt>
                <c:pt idx="1">
                  <c:v>22678</c:v>
                </c:pt>
                <c:pt idx="2">
                  <c:v>23146</c:v>
                </c:pt>
                <c:pt idx="3">
                  <c:v>24310</c:v>
                </c:pt>
                <c:pt idx="4">
                  <c:v>24394</c:v>
                </c:pt>
                <c:pt idx="5">
                  <c:v>24249</c:v>
                </c:pt>
                <c:pt idx="6">
                  <c:v>26309</c:v>
                </c:pt>
                <c:pt idx="7">
                  <c:v>27685</c:v>
                </c:pt>
                <c:pt idx="8">
                  <c:v>27341</c:v>
                </c:pt>
                <c:pt idx="9">
                  <c:v>26145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F-4F42-98A8-27FACDB80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8821376"/>
        <c:axId val="-1538820832"/>
      </c:lineChart>
      <c:catAx>
        <c:axId val="-153882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20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38820832"/>
        <c:scaling>
          <c:orientation val="minMax"/>
          <c:max val="30000"/>
          <c:min val="18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21376"/>
        <c:crosses val="autoZero"/>
        <c:crossBetween val="between"/>
        <c:majorUnit val="2000"/>
        <c:dispUnits>
          <c:builtInUnit val="thousands"/>
          <c:dispUnitsLbl>
            <c:layout>
              <c:manualLayout>
                <c:xMode val="edge"/>
                <c:yMode val="edge"/>
                <c:x val="1.8116006128305197E-2"/>
                <c:y val="0.16111198519957248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550" b="1" i="0" u="none" strike="noStrike" baseline="0">
                      <a:solidFill>
                        <a:srgbClr val="FF0000"/>
                      </a:solidFill>
                      <a:latin typeface="B Roya"/>
                      <a:ea typeface="B Roya"/>
                      <a:cs typeface="B Roya"/>
                    </a:defRPr>
                  </a:pPr>
                  <a:r>
                    <a:rPr lang="fa-IR"/>
                    <a:t>هزاردستگاه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1">
              <a:defRPr sz="1050" b="0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r>
              <a:rPr lang="en-US" sz="1100" b="1" i="0" u="none" strike="noStrike" baseline="0">
                <a:solidFill>
                  <a:srgbClr val="003366"/>
                </a:solidFill>
                <a:cs typeface="B Roya"/>
              </a:rPr>
              <a:t>نمودار شماره</a:t>
            </a:r>
            <a:r>
              <a:rPr lang="fa-IR" sz="1100" b="1" i="0" u="none" strike="noStrike" baseline="0">
                <a:solidFill>
                  <a:srgbClr val="003366"/>
                </a:solidFill>
                <a:cs typeface="B Roya"/>
              </a:rPr>
              <a:t> 14</a:t>
            </a:r>
            <a:r>
              <a:rPr lang="en-US" sz="1100" b="1" i="0" u="none" strike="noStrike" baseline="0">
                <a:solidFill>
                  <a:srgbClr val="003366"/>
                </a:solidFill>
                <a:cs typeface="B Roya"/>
              </a:rPr>
              <a:t>  -تعداد واگن بارگیری شده به تفکیک مناطق در سال </a:t>
            </a:r>
            <a:r>
              <a:rPr lang="fa-IR" sz="1100" b="1" i="0" u="none" strike="noStrike" baseline="0">
                <a:solidFill>
                  <a:srgbClr val="003366"/>
                </a:solidFill>
                <a:cs typeface="B Roya"/>
              </a:rPr>
              <a:t>1403</a:t>
            </a:r>
            <a:endParaRPr lang="en-US" sz="1100" b="1" i="0" u="none" strike="noStrike" baseline="0">
              <a:solidFill>
                <a:srgbClr val="003366"/>
              </a:solidFill>
              <a:cs typeface="B Roya"/>
            </a:endParaRPr>
          </a:p>
        </c:rich>
      </c:tx>
      <c:layout>
        <c:manualLayout>
          <c:xMode val="edge"/>
          <c:yMode val="edge"/>
          <c:x val="0.17741067303066246"/>
          <c:y val="2.04248740752066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3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03575735494101"/>
          <c:y val="0.46278317816136177"/>
          <c:w val="0.40684140513769651"/>
          <c:h val="0.34260979592534641"/>
        </c:manualLayout>
      </c:layout>
      <c:pie3D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33333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04-42C2-8B6E-34697F961AB9}"/>
              </c:ext>
            </c:extLst>
          </c:dPt>
          <c:dPt>
            <c:idx val="1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004-42C2-8B6E-34697F961AB9}"/>
              </c:ext>
            </c:extLst>
          </c:dPt>
          <c:dPt>
            <c:idx val="2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004-42C2-8B6E-34697F961AB9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004-42C2-8B6E-34697F961A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7004-42C2-8B6E-34697F961AB9}"/>
              </c:ext>
            </c:extLst>
          </c:dPt>
          <c:dPt>
            <c:idx val="5"/>
            <c:bubble3D val="0"/>
            <c:spPr>
              <a:solidFill>
                <a:srgbClr val="FF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04-42C2-8B6E-34697F961AB9}"/>
              </c:ext>
            </c:extLst>
          </c:dPt>
          <c:dPt>
            <c:idx val="6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04-42C2-8B6E-34697F961AB9}"/>
              </c:ext>
            </c:extLst>
          </c:dPt>
          <c:dPt>
            <c:idx val="7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04-42C2-8B6E-34697F961AB9}"/>
              </c:ext>
            </c:extLst>
          </c:dPt>
          <c:dPt>
            <c:idx val="8"/>
            <c:bubble3D val="0"/>
            <c:spPr>
              <a:solidFill>
                <a:srgbClr val="3399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04-42C2-8B6E-34697F961AB9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04-42C2-8B6E-34697F961AB9}"/>
              </c:ext>
            </c:extLst>
          </c:dPt>
          <c:dPt>
            <c:idx val="1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04-42C2-8B6E-34697F961AB9}"/>
              </c:ext>
            </c:extLst>
          </c:dPt>
          <c:dPt>
            <c:idx val="11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7004-42C2-8B6E-34697F961A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7-7004-42C2-8B6E-34697F961AB9}"/>
              </c:ext>
            </c:extLst>
          </c:dPt>
          <c:dPt>
            <c:idx val="13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7004-42C2-8B6E-34697F961A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A-7004-42C2-8B6E-34697F961A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B-7004-42C2-8B6E-34697F961A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C-7004-42C2-8B6E-34697F961AB9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1D-7004-42C2-8B6E-34697F961AB9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1E-7004-42C2-8B6E-34697F961AB9}"/>
              </c:ext>
            </c:extLst>
          </c:dPt>
          <c:dLbls>
            <c:dLbl>
              <c:idx val="0"/>
              <c:layout>
                <c:manualLayout>
                  <c:x val="-5.5983478359536119E-2"/>
                  <c:y val="-0.211903528345601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04-42C2-8B6E-34697F961AB9}"/>
                </c:ext>
              </c:extLst>
            </c:dLbl>
            <c:dLbl>
              <c:idx val="1"/>
              <c:layout>
                <c:manualLayout>
                  <c:x val="-3.8672035409762537E-2"/>
                  <c:y val="-0.236191247112861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04-42C2-8B6E-34697F961AB9}"/>
                </c:ext>
              </c:extLst>
            </c:dLbl>
            <c:dLbl>
              <c:idx val="2"/>
              <c:layout>
                <c:manualLayout>
                  <c:x val="1.969129118650079E-2"/>
                  <c:y val="-0.18562432138979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04-42C2-8B6E-34697F961AB9}"/>
                </c:ext>
              </c:extLst>
            </c:dLbl>
            <c:dLbl>
              <c:idx val="3"/>
              <c:layout>
                <c:manualLayout>
                  <c:x val="2.7911251327790331E-2"/>
                  <c:y val="-0.2432356243431263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04-42C2-8B6E-34697F961AB9}"/>
                </c:ext>
              </c:extLst>
            </c:dLbl>
            <c:dLbl>
              <c:idx val="4"/>
              <c:layout>
                <c:manualLayout>
                  <c:x val="-9.6657832409751928E-4"/>
                  <c:y val="-0.1379867766108457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04-42C2-8B6E-34697F961AB9}"/>
                </c:ext>
              </c:extLst>
            </c:dLbl>
            <c:dLbl>
              <c:idx val="5"/>
              <c:layout>
                <c:manualLayout>
                  <c:x val="5.75120732318984E-2"/>
                  <c:y val="-0.204677872250274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04-42C2-8B6E-34697F961AB9}"/>
                </c:ext>
              </c:extLst>
            </c:dLbl>
            <c:dLbl>
              <c:idx val="6"/>
              <c:layout>
                <c:manualLayout>
                  <c:x val="0.10523675960062483"/>
                  <c:y val="-0.169101627977108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04-42C2-8B6E-34697F961AB9}"/>
                </c:ext>
              </c:extLst>
            </c:dLbl>
            <c:dLbl>
              <c:idx val="7"/>
              <c:layout>
                <c:manualLayout>
                  <c:x val="0.22878812330380002"/>
                  <c:y val="-0.156476541630350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04-42C2-8B6E-34697F961AB9}"/>
                </c:ext>
              </c:extLst>
            </c:dLbl>
            <c:dLbl>
              <c:idx val="8"/>
              <c:layout>
                <c:manualLayout>
                  <c:x val="0.24169761687206692"/>
                  <c:y val="-3.25274532657879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04-42C2-8B6E-34697F961AB9}"/>
                </c:ext>
              </c:extLst>
            </c:dLbl>
            <c:dLbl>
              <c:idx val="9"/>
              <c:layout>
                <c:manualLayout>
                  <c:x val="0.20847627150171205"/>
                  <c:y val="7.0412242982056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04-42C2-8B6E-34697F961AB9}"/>
                </c:ext>
              </c:extLst>
            </c:dLbl>
            <c:dLbl>
              <c:idx val="10"/>
              <c:layout>
                <c:manualLayout>
                  <c:x val="0.2507537817839427"/>
                  <c:y val="0.1689066373549648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04-42C2-8B6E-34697F961AB9}"/>
                </c:ext>
              </c:extLst>
            </c:dLbl>
            <c:dLbl>
              <c:idx val="11"/>
              <c:layout>
                <c:manualLayout>
                  <c:x val="0.16092847213116532"/>
                  <c:y val="0.247699133622204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04-42C2-8B6E-34697F961AB9}"/>
                </c:ext>
              </c:extLst>
            </c:dLbl>
            <c:dLbl>
              <c:idx val="12"/>
              <c:layout>
                <c:manualLayout>
                  <c:x val="9.0779123601173198E-2"/>
                  <c:y val="7.45328169483700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04-42C2-8B6E-34697F961AB9}"/>
                </c:ext>
              </c:extLst>
            </c:dLbl>
            <c:dLbl>
              <c:idx val="13"/>
              <c:layout>
                <c:manualLayout>
                  <c:x val="6.0688920508356177E-2"/>
                  <c:y val="6.749262817792296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04-42C2-8B6E-34697F961AB9}"/>
                </c:ext>
              </c:extLst>
            </c:dLbl>
            <c:dLbl>
              <c:idx val="14"/>
              <c:layout>
                <c:manualLayout>
                  <c:x val="-5.8206814340422047E-2"/>
                  <c:y val="6.114955500269306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04-42C2-8B6E-34697F961AB9}"/>
                </c:ext>
              </c:extLst>
            </c:dLbl>
            <c:dLbl>
              <c:idx val="15"/>
              <c:layout>
                <c:manualLayout>
                  <c:x val="-0.10114449156061726"/>
                  <c:y val="2.2485316371284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04-42C2-8B6E-34697F961AB9}"/>
                </c:ext>
              </c:extLst>
            </c:dLbl>
            <c:dLbl>
              <c:idx val="16"/>
              <c:layout>
                <c:manualLayout>
                  <c:x val="-0.15652431845147446"/>
                  <c:y val="-9.6508244088223092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04-42C2-8B6E-34697F961AB9}"/>
                </c:ext>
              </c:extLst>
            </c:dLbl>
            <c:dLbl>
              <c:idx val="17"/>
              <c:layout>
                <c:manualLayout>
                  <c:x val="-0.13495412934180509"/>
                  <c:y val="-0.1769047692057299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04-42C2-8B6E-34697F961AB9}"/>
                </c:ext>
              </c:extLst>
            </c:dLbl>
            <c:dLbl>
              <c:idx val="18"/>
              <c:layout>
                <c:manualLayout>
                  <c:x val="-7.6178621801578791E-2"/>
                  <c:y val="-0.16089837304538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04-42C2-8B6E-34697F961AB9}"/>
                </c:ext>
              </c:extLst>
            </c:dLbl>
            <c:dLbl>
              <c:idx val="19"/>
              <c:layout>
                <c:manualLayout>
                  <c:x val="-0.10565479572864438"/>
                  <c:y val="-0.237460825737804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04-42C2-8B6E-34697F961AB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B Roya"/>
                    <a:ea typeface="B Roya"/>
                    <a:cs typeface="B Roya"/>
                  </a:defRPr>
                </a:pPr>
                <a:endParaRPr lang="prs-AF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'39'!$A$21:$A$41</c:f>
              <c:strCache>
                <c:ptCount val="21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</c:v>
                </c:pt>
                <c:pt idx="7">
                  <c:v>شمالشرق2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يزد</c:v>
                </c:pt>
                <c:pt idx="13">
                  <c:v>کرمان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قم</c:v>
                </c:pt>
                <c:pt idx="17">
                  <c:v>زاگرس</c:v>
                </c:pt>
                <c:pt idx="18">
                  <c:v>شرق</c:v>
                </c:pt>
                <c:pt idx="19">
                  <c:v>فارس</c:v>
                </c:pt>
                <c:pt idx="20">
                  <c:v>غرب</c:v>
                </c:pt>
              </c:strCache>
            </c:strRef>
          </c:cat>
          <c:val>
            <c:numRef>
              <c:f>'39'!$C$21:$C$41</c:f>
              <c:numCache>
                <c:formatCode>#,##0</c:formatCode>
                <c:ptCount val="21"/>
                <c:pt idx="0">
                  <c:v>74669</c:v>
                </c:pt>
                <c:pt idx="1">
                  <c:v>2992</c:v>
                </c:pt>
                <c:pt idx="2">
                  <c:v>23089</c:v>
                </c:pt>
                <c:pt idx="3">
                  <c:v>33800</c:v>
                </c:pt>
                <c:pt idx="4">
                  <c:v>2735</c:v>
                </c:pt>
                <c:pt idx="5">
                  <c:v>17174</c:v>
                </c:pt>
                <c:pt idx="6">
                  <c:v>6015</c:v>
                </c:pt>
                <c:pt idx="7">
                  <c:v>11551</c:v>
                </c:pt>
                <c:pt idx="8">
                  <c:v>51988</c:v>
                </c:pt>
                <c:pt idx="9">
                  <c:v>5975</c:v>
                </c:pt>
                <c:pt idx="10">
                  <c:v>29238</c:v>
                </c:pt>
                <c:pt idx="11">
                  <c:v>42634</c:v>
                </c:pt>
                <c:pt idx="12">
                  <c:v>142657</c:v>
                </c:pt>
                <c:pt idx="13">
                  <c:v>11943</c:v>
                </c:pt>
                <c:pt idx="14">
                  <c:v>2810</c:v>
                </c:pt>
                <c:pt idx="15">
                  <c:v>99418</c:v>
                </c:pt>
                <c:pt idx="16">
                  <c:v>3641</c:v>
                </c:pt>
                <c:pt idx="17">
                  <c:v>2828</c:v>
                </c:pt>
                <c:pt idx="18">
                  <c:v>79998</c:v>
                </c:pt>
                <c:pt idx="19">
                  <c:v>8590</c:v>
                </c:pt>
                <c:pt idx="20">
                  <c:v>5132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004-42C2-8B6E-34697F961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r>
              <a:rPr lang="fa-IR" sz="1100" b="1" i="0" u="none" strike="noStrike" baseline="0">
                <a:solidFill>
                  <a:srgbClr val="333399"/>
                </a:solidFill>
                <a:cs typeface="B Nazanin"/>
              </a:rPr>
              <a:t>نمودار شماره15-</a:t>
            </a:r>
            <a:r>
              <a:rPr lang="en-US" sz="1100" b="1" i="0" u="none" strike="noStrike" baseline="0">
                <a:solidFill>
                  <a:srgbClr val="333399"/>
                </a:solidFill>
                <a:cs typeface="B Nazanin"/>
              </a:rPr>
              <a:t>تعداد مسافر ادارات كل مناطق در سالها</a:t>
            </a:r>
            <a:r>
              <a:rPr lang="fa-IR" sz="1100" b="1" i="0" u="none" strike="noStrike" baseline="0">
                <a:solidFill>
                  <a:srgbClr val="333399"/>
                </a:solidFill>
                <a:cs typeface="B Nazanin"/>
              </a:rPr>
              <a:t>ی</a:t>
            </a:r>
            <a:r>
              <a:rPr lang="en-US" sz="1100" b="1" i="0" u="none" strike="noStrike" baseline="0">
                <a:solidFill>
                  <a:srgbClr val="333399"/>
                </a:solidFill>
                <a:cs typeface="B Nazanin"/>
              </a:rPr>
              <a:t>1403</a:t>
            </a:r>
            <a:r>
              <a:rPr lang="fa-IR" sz="1100" b="1" i="0" u="none" strike="noStrike" baseline="0">
                <a:solidFill>
                  <a:srgbClr val="333399"/>
                </a:solidFill>
                <a:cs typeface="B Nazanin"/>
              </a:rPr>
              <a:t>-</a:t>
            </a:r>
            <a:r>
              <a:rPr lang="en-US" sz="1100" b="1" i="0" u="none" strike="noStrike" baseline="0">
                <a:solidFill>
                  <a:srgbClr val="333399"/>
                </a:solidFill>
                <a:cs typeface="B Nazanin"/>
              </a:rPr>
              <a:t>1402</a:t>
            </a:r>
            <a:endParaRPr lang="en-US" sz="1100" b="1" i="0" u="none" strike="noStrike" baseline="0">
              <a:solidFill>
                <a:srgbClr val="333399"/>
              </a:solidFill>
              <a:cs typeface="B Roya"/>
            </a:endParaRPr>
          </a:p>
        </c:rich>
      </c:tx>
      <c:layout>
        <c:manualLayout>
          <c:xMode val="edge"/>
          <c:yMode val="edge"/>
          <c:x val="0.2062056384369384"/>
          <c:y val="2.92403393838792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64661654135333E-2"/>
          <c:y val="0.13880126182965299"/>
          <c:w val="0.87969924812030076"/>
          <c:h val="0.722397476340693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'p65'!$B$20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'p65'!$A$21:$A$41</c:f>
              <c:strCache>
                <c:ptCount val="21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 1</c:v>
                </c:pt>
                <c:pt idx="7">
                  <c:v>شمالشرق 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یزد</c:v>
                </c:pt>
                <c:pt idx="13">
                  <c:v>کرمان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شرق</c:v>
                </c:pt>
                <c:pt idx="17">
                  <c:v>فارس</c:v>
                </c:pt>
                <c:pt idx="18">
                  <c:v>قم</c:v>
                </c:pt>
                <c:pt idx="19">
                  <c:v>غرب</c:v>
                </c:pt>
                <c:pt idx="20">
                  <c:v>زاگرس </c:v>
                </c:pt>
              </c:strCache>
            </c:strRef>
          </c:cat>
          <c:val>
            <c:numRef>
              <c:f>'p65'!$B$21:$B$41</c:f>
              <c:numCache>
                <c:formatCode>#,##0</c:formatCode>
                <c:ptCount val="21"/>
                <c:pt idx="0">
                  <c:v>1535840</c:v>
                </c:pt>
                <c:pt idx="1">
                  <c:v>268122</c:v>
                </c:pt>
                <c:pt idx="2">
                  <c:v>474367</c:v>
                </c:pt>
                <c:pt idx="3">
                  <c:v>10887078</c:v>
                </c:pt>
                <c:pt idx="4">
                  <c:v>828548</c:v>
                </c:pt>
                <c:pt idx="5">
                  <c:v>967170</c:v>
                </c:pt>
                <c:pt idx="6">
                  <c:v>433968</c:v>
                </c:pt>
                <c:pt idx="7">
                  <c:v>414134</c:v>
                </c:pt>
                <c:pt idx="8">
                  <c:v>8418329</c:v>
                </c:pt>
                <c:pt idx="9">
                  <c:v>841540</c:v>
                </c:pt>
                <c:pt idx="10">
                  <c:v>1365142</c:v>
                </c:pt>
                <c:pt idx="11">
                  <c:v>858972</c:v>
                </c:pt>
                <c:pt idx="12">
                  <c:v>490320</c:v>
                </c:pt>
                <c:pt idx="13">
                  <c:v>570498</c:v>
                </c:pt>
                <c:pt idx="14">
                  <c:v>209272</c:v>
                </c:pt>
                <c:pt idx="15">
                  <c:v>531122</c:v>
                </c:pt>
                <c:pt idx="16">
                  <c:v>202540</c:v>
                </c:pt>
                <c:pt idx="17">
                  <c:v>282085</c:v>
                </c:pt>
                <c:pt idx="18">
                  <c:v>1540645</c:v>
                </c:pt>
                <c:pt idx="19">
                  <c:v>280909</c:v>
                </c:pt>
                <c:pt idx="20">
                  <c:v>383526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0B-47B2-8D88-FB7BD6ED7B7F}"/>
            </c:ext>
          </c:extLst>
        </c:ser>
        <c:ser>
          <c:idx val="1"/>
          <c:order val="1"/>
          <c:tx>
            <c:strRef>
              <c:f>'p65'!$C$20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80">
              <a:fgClr>
                <a:srgbClr val="00B05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'p65'!$A$21:$A$41</c:f>
              <c:strCache>
                <c:ptCount val="21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 1</c:v>
                </c:pt>
                <c:pt idx="7">
                  <c:v>شمالشرق 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یزد</c:v>
                </c:pt>
                <c:pt idx="13">
                  <c:v>کرمان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شرق</c:v>
                </c:pt>
                <c:pt idx="17">
                  <c:v>فارس</c:v>
                </c:pt>
                <c:pt idx="18">
                  <c:v>قم</c:v>
                </c:pt>
                <c:pt idx="19">
                  <c:v>غرب</c:v>
                </c:pt>
                <c:pt idx="20">
                  <c:v>زاگرس </c:v>
                </c:pt>
              </c:strCache>
            </c:strRef>
          </c:cat>
          <c:val>
            <c:numRef>
              <c:f>'p65'!$C$21:$C$41</c:f>
              <c:numCache>
                <c:formatCode>#,##0</c:formatCode>
                <c:ptCount val="21"/>
                <c:pt idx="0">
                  <c:v>1470510</c:v>
                </c:pt>
                <c:pt idx="1">
                  <c:v>294625</c:v>
                </c:pt>
                <c:pt idx="2">
                  <c:v>449020</c:v>
                </c:pt>
                <c:pt idx="3">
                  <c:v>10454150</c:v>
                </c:pt>
                <c:pt idx="4">
                  <c:v>770087</c:v>
                </c:pt>
                <c:pt idx="5">
                  <c:v>860164</c:v>
                </c:pt>
                <c:pt idx="6">
                  <c:v>396634</c:v>
                </c:pt>
                <c:pt idx="7">
                  <c:v>309440</c:v>
                </c:pt>
                <c:pt idx="8">
                  <c:v>7824725</c:v>
                </c:pt>
                <c:pt idx="9">
                  <c:v>871526</c:v>
                </c:pt>
                <c:pt idx="10">
                  <c:v>1139037</c:v>
                </c:pt>
                <c:pt idx="11">
                  <c:v>739754</c:v>
                </c:pt>
                <c:pt idx="12">
                  <c:v>493413</c:v>
                </c:pt>
                <c:pt idx="13">
                  <c:v>608114</c:v>
                </c:pt>
                <c:pt idx="14">
                  <c:v>212437</c:v>
                </c:pt>
                <c:pt idx="15">
                  <c:v>481688</c:v>
                </c:pt>
                <c:pt idx="16">
                  <c:v>191487</c:v>
                </c:pt>
                <c:pt idx="17">
                  <c:v>245292</c:v>
                </c:pt>
                <c:pt idx="18">
                  <c:v>1650248</c:v>
                </c:pt>
                <c:pt idx="19">
                  <c:v>289529</c:v>
                </c:pt>
                <c:pt idx="20">
                  <c:v>389104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0B-47B2-8D88-FB7BD6ED7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771764384"/>
        <c:axId val="-1771768192"/>
      </c:barChart>
      <c:catAx>
        <c:axId val="-177176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prs-AF"/>
          </a:p>
        </c:txPr>
        <c:crossAx val="-177176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771768192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prs-AF"/>
          </a:p>
        </c:txPr>
        <c:crossAx val="-17717643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8796992481203006E-3"/>
                <c:y val="0.18275035809798224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875" b="1" i="0" u="none" strike="noStrike" baseline="0">
                      <a:solidFill>
                        <a:srgbClr val="333399"/>
                      </a:solidFill>
                      <a:latin typeface="B Roya"/>
                      <a:ea typeface="B Roya"/>
                      <a:cs typeface="B Roya"/>
                    </a:defRPr>
                  </a:pPr>
                  <a:r>
                    <a:rPr lang="fa-IR"/>
                    <a:t>ميليون نفر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760306277504782"/>
          <c:y val="0.27955230821372556"/>
          <c:w val="0.1084569691946401"/>
          <c:h val="0.157734112064820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B Mitra"/>
              <a:ea typeface="B Mitra"/>
              <a:cs typeface="B Mitra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0.98425196850393704" l="0.74803149606299213" r="0.74803149606299213" t="0.98425196850393704" header="0.51181102362204722" footer="0.51181102362204722"/>
    <c:pageSetup paperSize="9"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r>
              <a:rPr lang="fa-IR" sz="1200" b="1" i="0" u="none" strike="noStrike" baseline="0">
                <a:solidFill>
                  <a:srgbClr val="000080"/>
                </a:solidFill>
                <a:cs typeface="B Nazanin"/>
              </a:rPr>
              <a:t>نمودار شماره16-</a:t>
            </a:r>
            <a:r>
              <a:rPr lang="en-US" sz="1200" b="1" i="0" u="none" strike="noStrike" baseline="0">
                <a:solidFill>
                  <a:srgbClr val="000080"/>
                </a:solidFill>
                <a:cs typeface="B Nazanin"/>
              </a:rPr>
              <a:t>نفركيلومترمسافر مناطق درسالهاي 1403</a:t>
            </a:r>
            <a:r>
              <a:rPr lang="fa-IR" sz="1200" b="1" i="0" u="none" strike="noStrike" baseline="0">
                <a:solidFill>
                  <a:srgbClr val="000080"/>
                </a:solidFill>
                <a:cs typeface="B Nazanin"/>
              </a:rPr>
              <a:t>-</a:t>
            </a:r>
            <a:r>
              <a:rPr lang="en-US" sz="1200" b="1" i="0" u="none" strike="noStrike" baseline="0">
                <a:solidFill>
                  <a:srgbClr val="000080"/>
                </a:solidFill>
                <a:cs typeface="B Nazanin"/>
              </a:rPr>
              <a:t>1402</a:t>
            </a:r>
            <a:endParaRPr lang="en-US" sz="1200" b="1" i="0" u="none" strike="noStrike" baseline="0">
              <a:solidFill>
                <a:srgbClr val="000080"/>
              </a:solidFill>
              <a:cs typeface="B Roya"/>
            </a:endParaRPr>
          </a:p>
        </c:rich>
      </c:tx>
      <c:layout>
        <c:manualLayout>
          <c:xMode val="edge"/>
          <c:yMode val="edge"/>
          <c:x val="0.17371867842362401"/>
          <c:y val="2.83668454486667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571262417017175E-2"/>
          <c:y val="0.13749917377937099"/>
          <c:w val="0.88827451822678449"/>
          <c:h val="0.693790406633953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'p67'!$B$19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'p67'!$A$20:$A$40</c:f>
              <c:strCache>
                <c:ptCount val="21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 1</c:v>
                </c:pt>
                <c:pt idx="7">
                  <c:v>شمالشرق 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یزد</c:v>
                </c:pt>
                <c:pt idx="13">
                  <c:v>کرمان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شرق</c:v>
                </c:pt>
                <c:pt idx="17">
                  <c:v>فارس</c:v>
                </c:pt>
                <c:pt idx="18">
                  <c:v>قم</c:v>
                </c:pt>
                <c:pt idx="19">
                  <c:v>غرب</c:v>
                </c:pt>
                <c:pt idx="20">
                  <c:v>زاگرس </c:v>
                </c:pt>
              </c:strCache>
            </c:strRef>
          </c:cat>
          <c:val>
            <c:numRef>
              <c:f>'p67'!$B$20:$B$40</c:f>
              <c:numCache>
                <c:formatCode>#,##0</c:formatCode>
                <c:ptCount val="21"/>
                <c:pt idx="0">
                  <c:v>686215.53700000001</c:v>
                </c:pt>
                <c:pt idx="1">
                  <c:v>61746.014000000003</c:v>
                </c:pt>
                <c:pt idx="2">
                  <c:v>309851.34100000001</c:v>
                </c:pt>
                <c:pt idx="3">
                  <c:v>4559873.1809999999</c:v>
                </c:pt>
                <c:pt idx="4">
                  <c:v>195111.68400000001</c:v>
                </c:pt>
                <c:pt idx="5">
                  <c:v>366088.99400000001</c:v>
                </c:pt>
                <c:pt idx="6">
                  <c:v>189572.28200000001</c:v>
                </c:pt>
                <c:pt idx="7">
                  <c:v>65779.608999999997</c:v>
                </c:pt>
                <c:pt idx="8">
                  <c:v>5878910.2199999997</c:v>
                </c:pt>
                <c:pt idx="9">
                  <c:v>362375.53600000002</c:v>
                </c:pt>
                <c:pt idx="10">
                  <c:v>663743.43799999997</c:v>
                </c:pt>
                <c:pt idx="11">
                  <c:v>608302.22400000005</c:v>
                </c:pt>
                <c:pt idx="12">
                  <c:v>264565.36099999998</c:v>
                </c:pt>
                <c:pt idx="13">
                  <c:v>392752.30900000001</c:v>
                </c:pt>
                <c:pt idx="14">
                  <c:v>203753.356</c:v>
                </c:pt>
                <c:pt idx="15">
                  <c:v>542584.799</c:v>
                </c:pt>
                <c:pt idx="16">
                  <c:v>102189.97900000001</c:v>
                </c:pt>
                <c:pt idx="17">
                  <c:v>273307.79499999998</c:v>
                </c:pt>
                <c:pt idx="18">
                  <c:v>628874.53599999996</c:v>
                </c:pt>
                <c:pt idx="19">
                  <c:v>161454.36499999999</c:v>
                </c:pt>
                <c:pt idx="20">
                  <c:v>77015.832999999999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92-4FD8-B480-28B685B0B200}"/>
            </c:ext>
          </c:extLst>
        </c:ser>
        <c:ser>
          <c:idx val="1"/>
          <c:order val="1"/>
          <c:tx>
            <c:strRef>
              <c:f>'p67'!$C$19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80">
              <a:fgClr>
                <a:srgbClr val="00B05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'p67'!$A$20:$A$40</c:f>
              <c:strCache>
                <c:ptCount val="21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 1</c:v>
                </c:pt>
                <c:pt idx="7">
                  <c:v>شمالشرق 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یزد</c:v>
                </c:pt>
                <c:pt idx="13">
                  <c:v>کرمان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شرق</c:v>
                </c:pt>
                <c:pt idx="17">
                  <c:v>فارس</c:v>
                </c:pt>
                <c:pt idx="18">
                  <c:v>قم</c:v>
                </c:pt>
                <c:pt idx="19">
                  <c:v>غرب</c:v>
                </c:pt>
                <c:pt idx="20">
                  <c:v>زاگرس </c:v>
                </c:pt>
              </c:strCache>
            </c:strRef>
          </c:cat>
          <c:val>
            <c:numRef>
              <c:f>'p67'!$C$20:$C$40</c:f>
              <c:numCache>
                <c:formatCode>#,##0</c:formatCode>
                <c:ptCount val="21"/>
                <c:pt idx="0">
                  <c:v>680016.73410745698</c:v>
                </c:pt>
                <c:pt idx="1">
                  <c:v>69156.879813299834</c:v>
                </c:pt>
                <c:pt idx="2">
                  <c:v>292303.55959257705</c:v>
                </c:pt>
                <c:pt idx="3">
                  <c:v>4078573.0694320546</c:v>
                </c:pt>
                <c:pt idx="4">
                  <c:v>175041.42199999999</c:v>
                </c:pt>
                <c:pt idx="5">
                  <c:v>302260.16137212893</c:v>
                </c:pt>
                <c:pt idx="6">
                  <c:v>176294.48203199811</c:v>
                </c:pt>
                <c:pt idx="7">
                  <c:v>64076.78</c:v>
                </c:pt>
                <c:pt idx="8">
                  <c:v>5370325.5138648422</c:v>
                </c:pt>
                <c:pt idx="9">
                  <c:v>377725.63047811517</c:v>
                </c:pt>
                <c:pt idx="10">
                  <c:v>563072.30700000003</c:v>
                </c:pt>
                <c:pt idx="11">
                  <c:v>537402.32304320554</c:v>
                </c:pt>
                <c:pt idx="12">
                  <c:v>262697.22167954827</c:v>
                </c:pt>
                <c:pt idx="13">
                  <c:v>413259.61532163282</c:v>
                </c:pt>
                <c:pt idx="14">
                  <c:v>222439.951</c:v>
                </c:pt>
                <c:pt idx="15">
                  <c:v>510202.98874786281</c:v>
                </c:pt>
                <c:pt idx="16">
                  <c:v>98339.732737034617</c:v>
                </c:pt>
                <c:pt idx="17">
                  <c:v>223068.66755948591</c:v>
                </c:pt>
                <c:pt idx="18">
                  <c:v>694426.14496385574</c:v>
                </c:pt>
                <c:pt idx="19">
                  <c:v>169006.05300000001</c:v>
                </c:pt>
                <c:pt idx="20">
                  <c:v>78831.057254883242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92-4FD8-B480-28B685B0B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771760576"/>
        <c:axId val="-1771764928"/>
      </c:barChart>
      <c:catAx>
        <c:axId val="-177176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7176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771764928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7176057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9116276995010863E-3"/>
                <c:y val="0.15286148720873471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B Roya"/>
                      <a:ea typeface="B Roya"/>
                      <a:cs typeface="B Roya"/>
                    </a:defRPr>
                  </a:pPr>
                  <a:r>
                    <a:rPr lang="fa-IR"/>
                    <a:t>ميلياردنفركيلومتر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35328870408054"/>
          <c:y val="0.29394986496253184"/>
          <c:w val="0.11798126357800776"/>
          <c:h val="0.148202518163490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B Roya"/>
              <a:ea typeface="B Roya"/>
              <a:cs typeface="B Roya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0.98425196850393704" l="0.74803149606299213" r="0.74803149606299213" t="0.98425196850393704" header="0.51181102362204722" footer="0.51181102362204722"/>
    <c:pageSetup paperSize="9"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333399"/>
                </a:solidFill>
                <a:latin typeface="B Nazanin"/>
                <a:ea typeface="B Nazanin"/>
                <a:cs typeface="B Nazanin"/>
              </a:defRPr>
            </a:pPr>
            <a:r>
              <a:rPr lang="fa-IR"/>
              <a:t>نمودار شماره 17- تعداد مسافر مناطق در سال 1403</a:t>
            </a:r>
          </a:p>
        </c:rich>
      </c:tx>
      <c:layout>
        <c:manualLayout>
          <c:xMode val="edge"/>
          <c:yMode val="edge"/>
          <c:x val="0.25473084076410979"/>
          <c:y val="1.80292675679691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500184125508304"/>
          <c:y val="0.39972371874568302"/>
          <c:w val="0.55526572836655874"/>
          <c:h val="0.45839781988973866"/>
        </c:manualLayout>
      </c:layout>
      <c:pie3DChart>
        <c:varyColors val="1"/>
        <c:ser>
          <c:idx val="0"/>
          <c:order val="0"/>
          <c:tx>
            <c:strRef>
              <c:f>'p65'!$C$20</c:f>
              <c:strCache>
                <c:ptCount val="1"/>
                <c:pt idx="0">
                  <c:v>1403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  <a:effectLst>
              <a:outerShdw sx="1000" sy="1000" algn="ctr" rotWithShape="0">
                <a:srgbClr val="000000"/>
              </a:outerShdw>
            </a:effectLst>
          </c:spPr>
          <c:explosion val="8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E7-44D2-B5B9-2F2D1C64129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  <a:effectLst>
                <a:outerShdw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3E7-44D2-B5B9-2F2D1C64129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  <a:effectLst>
                <a:outerShdw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63E7-44D2-B5B9-2F2D1C64129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  <a:effectLst>
                <a:outerShdw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63E7-44D2-B5B9-2F2D1C64129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  <a:effectLst>
                <a:outerShdw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63E7-44D2-B5B9-2F2D1C64129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  <a:effectLst>
                <a:outerShdw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3E7-44D2-B5B9-2F2D1C641295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  <a:effectLst>
                <a:outerShdw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63E7-44D2-B5B9-2F2D1C641295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  <a:effectLst>
                <a:outerShdw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63E7-44D2-B5B9-2F2D1C641295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  <a:effectLst>
                <a:outerShdw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63E7-44D2-B5B9-2F2D1C641295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  <a:effectLst>
                <a:outerShdw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63E7-44D2-B5B9-2F2D1C641295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  <a:effectLst>
                <a:outerShdw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63E7-44D2-B5B9-2F2D1C641295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  <a:effectLst>
                <a:outerShdw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63E7-44D2-B5B9-2F2D1C641295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  <a:effectLst>
                <a:outerShdw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63E7-44D2-B5B9-2F2D1C641295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  <a:effectLst>
                <a:outerShdw sx="1000" sy="1000" algn="ctr" rotWithShape="0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63E7-44D2-B5B9-2F2D1C6412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B-63E7-44D2-B5B9-2F2D1C6412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C-63E7-44D2-B5B9-2F2D1C6412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D-63E7-44D2-B5B9-2F2D1C641295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1E-63E7-44D2-B5B9-2F2D1C641295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1F-63E7-44D2-B5B9-2F2D1C641295}"/>
              </c:ext>
            </c:extLst>
          </c:dPt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20-63E7-44D2-B5B9-2F2D1C641295}"/>
              </c:ext>
            </c:extLst>
          </c:dPt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21-63E7-44D2-B5B9-2F2D1C641295}"/>
              </c:ext>
            </c:extLst>
          </c:dPt>
          <c:dLbls>
            <c:dLbl>
              <c:idx val="0"/>
              <c:layout>
                <c:manualLayout>
                  <c:x val="0.20857523361474609"/>
                  <c:y val="-0.1236532117686780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7-44D2-B5B9-2F2D1C641295}"/>
                </c:ext>
              </c:extLst>
            </c:dLbl>
            <c:dLbl>
              <c:idx val="1"/>
              <c:layout>
                <c:manualLayout>
                  <c:x val="0.19928553326451301"/>
                  <c:y val="-4.68201120706162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E7-44D2-B5B9-2F2D1C641295}"/>
                </c:ext>
              </c:extLst>
            </c:dLbl>
            <c:dLbl>
              <c:idx val="2"/>
              <c:layout>
                <c:manualLayout>
                  <c:x val="0.20409079626424831"/>
                  <c:y val="4.777851623973629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7-44D2-B5B9-2F2D1C641295}"/>
                </c:ext>
              </c:extLst>
            </c:dLbl>
            <c:dLbl>
              <c:idx val="3"/>
              <c:layout>
                <c:manualLayout>
                  <c:x val="9.0485686955110986E-2"/>
                  <c:y val="-2.36462510146970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7-44D2-B5B9-2F2D1C641295}"/>
                </c:ext>
              </c:extLst>
            </c:dLbl>
            <c:dLbl>
              <c:idx val="4"/>
              <c:layout>
                <c:manualLayout>
                  <c:x val="0.15074549840968099"/>
                  <c:y val="-1.13279458914088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E7-44D2-B5B9-2F2D1C641295}"/>
                </c:ext>
              </c:extLst>
            </c:dLbl>
            <c:dLbl>
              <c:idx val="5"/>
              <c:layout>
                <c:manualLayout>
                  <c:x val="1.2166709136548144E-2"/>
                  <c:y val="4.260080521803880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7-44D2-B5B9-2F2D1C641295}"/>
                </c:ext>
              </c:extLst>
            </c:dLbl>
            <c:dLbl>
              <c:idx val="6"/>
              <c:layout>
                <c:manualLayout>
                  <c:x val="-0.10691397512706667"/>
                  <c:y val="3.296548679822409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7-44D2-B5B9-2F2D1C641295}"/>
                </c:ext>
              </c:extLst>
            </c:dLbl>
            <c:dLbl>
              <c:idx val="7"/>
              <c:layout>
                <c:manualLayout>
                  <c:x val="-0.19875371538822539"/>
                  <c:y val="2.23525479126429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E7-44D2-B5B9-2F2D1C641295}"/>
                </c:ext>
              </c:extLst>
            </c:dLbl>
            <c:dLbl>
              <c:idx val="8"/>
              <c:layout>
                <c:manualLayout>
                  <c:x val="-0.12429942118162382"/>
                  <c:y val="5.66220967662059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E7-44D2-B5B9-2F2D1C641295}"/>
                </c:ext>
              </c:extLst>
            </c:dLbl>
            <c:dLbl>
              <c:idx val="9"/>
              <c:layout>
                <c:manualLayout>
                  <c:x val="-0.11195095519019298"/>
                  <c:y val="4.733733820272341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E7-44D2-B5B9-2F2D1C641295}"/>
                </c:ext>
              </c:extLst>
            </c:dLbl>
            <c:dLbl>
              <c:idx val="10"/>
              <c:layout>
                <c:manualLayout>
                  <c:x val="-0.14681638298696495"/>
                  <c:y val="-2.05778218487911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E7-44D2-B5B9-2F2D1C641295}"/>
                </c:ext>
              </c:extLst>
            </c:dLbl>
            <c:dLbl>
              <c:idx val="11"/>
              <c:layout>
                <c:manualLayout>
                  <c:x val="-0.14027932154494485"/>
                  <c:y val="-0.122109707923294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E7-44D2-B5B9-2F2D1C641295}"/>
                </c:ext>
              </c:extLst>
            </c:dLbl>
            <c:dLbl>
              <c:idx val="12"/>
              <c:layout>
                <c:manualLayout>
                  <c:x val="-8.6995687526587137E-2"/>
                  <c:y val="-0.1574430896433641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E7-44D2-B5B9-2F2D1C641295}"/>
                </c:ext>
              </c:extLst>
            </c:dLbl>
            <c:dLbl>
              <c:idx val="13"/>
              <c:layout>
                <c:manualLayout>
                  <c:x val="-3.4022457100642847E-2"/>
                  <c:y val="-0.191773726448313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B Mitra"/>
                      <a:ea typeface="B Mitra"/>
                      <a:cs typeface="B Mitr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E7-44D2-B5B9-2F2D1C641295}"/>
                </c:ext>
              </c:extLst>
            </c:dLbl>
            <c:dLbl>
              <c:idx val="14"/>
              <c:layout>
                <c:manualLayout>
                  <c:x val="2.6265841309246571E-2"/>
                  <c:y val="-0.2223398586892627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E7-44D2-B5B9-2F2D1C641295}"/>
                </c:ext>
              </c:extLst>
            </c:dLbl>
            <c:dLbl>
              <c:idx val="15"/>
              <c:layout>
                <c:manualLayout>
                  <c:x val="8.2345018369743658E-2"/>
                  <c:y val="-0.223426083109420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E7-44D2-B5B9-2F2D1C641295}"/>
                </c:ext>
              </c:extLst>
            </c:dLbl>
            <c:dLbl>
              <c:idx val="16"/>
              <c:layout>
                <c:manualLayout>
                  <c:x val="0.1419440714216606"/>
                  <c:y val="-0.2164757331023981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E7-44D2-B5B9-2F2D1C641295}"/>
                </c:ext>
              </c:extLst>
            </c:dLbl>
            <c:dLbl>
              <c:idx val="17"/>
              <c:layout>
                <c:manualLayout>
                  <c:x val="0.18480981743856745"/>
                  <c:y val="-0.1901789458743165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E7-44D2-B5B9-2F2D1C641295}"/>
                </c:ext>
              </c:extLst>
            </c:dLbl>
            <c:dLbl>
              <c:idx val="18"/>
              <c:layout>
                <c:manualLayout>
                  <c:x val="0.21099236914369437"/>
                  <c:y val="-0.1508459793223495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E7-44D2-B5B9-2F2D1C64129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B Mitra"/>
                    <a:ea typeface="B Mitra"/>
                    <a:cs typeface="B Mitra"/>
                  </a:defRPr>
                </a:pPr>
                <a:endParaRPr lang="prs-AF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'p65'!$A$21:$A$41</c:f>
              <c:strCache>
                <c:ptCount val="21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 1</c:v>
                </c:pt>
                <c:pt idx="7">
                  <c:v>شمالشرق 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یزد</c:v>
                </c:pt>
                <c:pt idx="13">
                  <c:v>کرمان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شرق</c:v>
                </c:pt>
                <c:pt idx="17">
                  <c:v>فارس</c:v>
                </c:pt>
                <c:pt idx="18">
                  <c:v>قم</c:v>
                </c:pt>
                <c:pt idx="19">
                  <c:v>غرب</c:v>
                </c:pt>
                <c:pt idx="20">
                  <c:v>زاگرس </c:v>
                </c:pt>
              </c:strCache>
            </c:strRef>
          </c:cat>
          <c:val>
            <c:numRef>
              <c:f>'p65'!$C$21:$C$41</c:f>
              <c:numCache>
                <c:formatCode>#,##0</c:formatCode>
                <c:ptCount val="21"/>
                <c:pt idx="0">
                  <c:v>1470510</c:v>
                </c:pt>
                <c:pt idx="1">
                  <c:v>294625</c:v>
                </c:pt>
                <c:pt idx="2">
                  <c:v>449020</c:v>
                </c:pt>
                <c:pt idx="3">
                  <c:v>10454150</c:v>
                </c:pt>
                <c:pt idx="4">
                  <c:v>770087</c:v>
                </c:pt>
                <c:pt idx="5">
                  <c:v>860164</c:v>
                </c:pt>
                <c:pt idx="6">
                  <c:v>396634</c:v>
                </c:pt>
                <c:pt idx="7">
                  <c:v>309440</c:v>
                </c:pt>
                <c:pt idx="8">
                  <c:v>7824725</c:v>
                </c:pt>
                <c:pt idx="9">
                  <c:v>871526</c:v>
                </c:pt>
                <c:pt idx="10">
                  <c:v>1139037</c:v>
                </c:pt>
                <c:pt idx="11">
                  <c:v>739754</c:v>
                </c:pt>
                <c:pt idx="12">
                  <c:v>493413</c:v>
                </c:pt>
                <c:pt idx="13">
                  <c:v>608114</c:v>
                </c:pt>
                <c:pt idx="14">
                  <c:v>212437</c:v>
                </c:pt>
                <c:pt idx="15">
                  <c:v>481688</c:v>
                </c:pt>
                <c:pt idx="16">
                  <c:v>191487</c:v>
                </c:pt>
                <c:pt idx="17">
                  <c:v>245292</c:v>
                </c:pt>
                <c:pt idx="18">
                  <c:v>1650248</c:v>
                </c:pt>
                <c:pt idx="19">
                  <c:v>289529</c:v>
                </c:pt>
                <c:pt idx="20">
                  <c:v>389104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63E7-44D2-B5B9-2F2D1C641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r>
              <a:rPr lang="fa-IR" sz="1200" b="1" i="0" baseline="0">
                <a:solidFill>
                  <a:srgbClr val="002060"/>
                </a:solidFill>
                <a:effectLst/>
              </a:rPr>
              <a:t>نمودار شماره 18- میزان نفرکیلومتر مناطق در سال 1403 </a:t>
            </a:r>
            <a:r>
              <a:rPr lang="en-US" sz="1200" b="1" i="0" u="none" strike="noStrike" baseline="0">
                <a:solidFill>
                  <a:srgbClr val="002060"/>
                </a:solidFill>
                <a:cs typeface="B Roya"/>
              </a:rPr>
              <a:t> </a:t>
            </a:r>
          </a:p>
        </c:rich>
      </c:tx>
      <c:layout>
        <c:manualLayout>
          <c:xMode val="edge"/>
          <c:yMode val="edge"/>
          <c:x val="0.25215482110788784"/>
          <c:y val="2.2489234300257923E-2"/>
        </c:manualLayout>
      </c:layout>
      <c:overlay val="0"/>
      <c:spPr>
        <a:ln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5569346727744913"/>
          <c:y val="0.35033576909381042"/>
          <c:w val="0.5403509259185999"/>
          <c:h val="0.42999006162518644"/>
        </c:manualLayout>
      </c:layout>
      <c:pie3DChart>
        <c:varyColors val="1"/>
        <c:ser>
          <c:idx val="0"/>
          <c:order val="0"/>
          <c:tx>
            <c:strRef>
              <c:f>'p67'!$C$19</c:f>
              <c:strCache>
                <c:ptCount val="1"/>
                <c:pt idx="0">
                  <c:v>1403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88-45B2-84DD-936329771F2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788-45B2-84DD-936329771F2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788-45B2-84DD-936329771F2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788-45B2-84DD-936329771F2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788-45B2-84DD-936329771F2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788-45B2-84DD-936329771F2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788-45B2-84DD-936329771F2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788-45B2-84DD-936329771F27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788-45B2-84DD-936329771F27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788-45B2-84DD-936329771F27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788-45B2-84DD-936329771F27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B788-45B2-84DD-936329771F27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B788-45B2-84DD-936329771F27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B788-45B2-84DD-936329771F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B-B788-45B2-84DD-936329771F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C-B788-45B2-84DD-936329771F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D-B788-45B2-84DD-936329771F27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1E-B788-45B2-84DD-936329771F27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1F-B788-45B2-84DD-936329771F27}"/>
              </c:ext>
            </c:extLst>
          </c:dPt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20-B788-45B2-84DD-936329771F27}"/>
              </c:ext>
            </c:extLst>
          </c:dPt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21-B788-45B2-84DD-936329771F27}"/>
              </c:ext>
            </c:extLst>
          </c:dPt>
          <c:dLbls>
            <c:dLbl>
              <c:idx val="0"/>
              <c:layout>
                <c:manualLayout>
                  <c:x val="0.20882341865323603"/>
                  <c:y val="-0.112368152297334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88-45B2-84DD-936329771F27}"/>
                </c:ext>
              </c:extLst>
            </c:dLbl>
            <c:dLbl>
              <c:idx val="1"/>
              <c:layout>
                <c:manualLayout>
                  <c:x val="0.22262572988092141"/>
                  <c:y val="-1.83444139663524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8-45B2-84DD-936329771F27}"/>
                </c:ext>
              </c:extLst>
            </c:dLbl>
            <c:dLbl>
              <c:idx val="2"/>
              <c:layout>
                <c:manualLayout>
                  <c:x val="0.28455811909500811"/>
                  <c:y val="0.104055800616402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8-45B2-84DD-936329771F27}"/>
                </c:ext>
              </c:extLst>
            </c:dLbl>
            <c:dLbl>
              <c:idx val="3"/>
              <c:layout>
                <c:manualLayout>
                  <c:x val="0.12007580279901835"/>
                  <c:y val="0.1207307957473057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8-45B2-84DD-936329771F27}"/>
                </c:ext>
              </c:extLst>
            </c:dLbl>
            <c:dLbl>
              <c:idx val="4"/>
              <c:layout>
                <c:manualLayout>
                  <c:x val="0.12950361705854491"/>
                  <c:y val="2.16198040408080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88-45B2-84DD-936329771F27}"/>
                </c:ext>
              </c:extLst>
            </c:dLbl>
            <c:dLbl>
              <c:idx val="5"/>
              <c:layout>
                <c:manualLayout>
                  <c:x val="0.1092177786987153"/>
                  <c:y val="0.104854393200849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88-45B2-84DD-936329771F27}"/>
                </c:ext>
              </c:extLst>
            </c:dLbl>
            <c:dLbl>
              <c:idx val="6"/>
              <c:layout>
                <c:manualLayout>
                  <c:x val="-2.3886586545102836E-2"/>
                  <c:y val="0.1075549647203189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88-45B2-84DD-936329771F27}"/>
                </c:ext>
              </c:extLst>
            </c:dLbl>
            <c:dLbl>
              <c:idx val="7"/>
              <c:layout>
                <c:manualLayout>
                  <c:x val="-0.17426647326978864"/>
                  <c:y val="0.127561327561327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88-45B2-84DD-936329771F27}"/>
                </c:ext>
              </c:extLst>
            </c:dLbl>
            <c:dLbl>
              <c:idx val="8"/>
              <c:layout>
                <c:manualLayout>
                  <c:x val="-4.7987219807087929E-2"/>
                  <c:y val="9.6456222228744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88-45B2-84DD-936329771F27}"/>
                </c:ext>
              </c:extLst>
            </c:dLbl>
            <c:dLbl>
              <c:idx val="9"/>
              <c:layout>
                <c:manualLayout>
                  <c:x val="-9.8137695937679972E-2"/>
                  <c:y val="0.1110559032211756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88-45B2-84DD-936329771F27}"/>
                </c:ext>
              </c:extLst>
            </c:dLbl>
            <c:dLbl>
              <c:idx val="10"/>
              <c:layout>
                <c:manualLayout>
                  <c:x val="-0.11027304050228037"/>
                  <c:y val="2.84711183488047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88-45B2-84DD-936329771F27}"/>
                </c:ext>
              </c:extLst>
            </c:dLbl>
            <c:dLbl>
              <c:idx val="11"/>
              <c:layout>
                <c:manualLayout>
                  <c:x val="-0.10287827273923908"/>
                  <c:y val="-5.359791259574839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88-45B2-84DD-936329771F27}"/>
                </c:ext>
              </c:extLst>
            </c:dLbl>
            <c:dLbl>
              <c:idx val="12"/>
              <c:layout>
                <c:manualLayout>
                  <c:x val="-9.6047682501755952E-2"/>
                  <c:y val="-0.1201303967892668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88-45B2-84DD-936329771F27}"/>
                </c:ext>
              </c:extLst>
            </c:dLbl>
            <c:dLbl>
              <c:idx val="13"/>
              <c:layout>
                <c:manualLayout>
                  <c:x val="-3.2102150335172622E-2"/>
                  <c:y val="-0.1775895249398988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B Mitra"/>
                      <a:ea typeface="B Mitra"/>
                      <a:cs typeface="B Mitra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88-45B2-84DD-936329771F27}"/>
                </c:ext>
              </c:extLst>
            </c:dLbl>
            <c:dLbl>
              <c:idx val="14"/>
              <c:layout>
                <c:manualLayout>
                  <c:x val="1.1765329788193316E-2"/>
                  <c:y val="-0.1852689575969279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88-45B2-84DD-936329771F27}"/>
                </c:ext>
              </c:extLst>
            </c:dLbl>
            <c:dLbl>
              <c:idx val="15"/>
              <c:layout>
                <c:manualLayout>
                  <c:x val="5.204390842013356E-2"/>
                  <c:y val="-0.1575820491242534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88-45B2-84DD-936329771F27}"/>
                </c:ext>
              </c:extLst>
            </c:dLbl>
            <c:dLbl>
              <c:idx val="16"/>
              <c:layout>
                <c:manualLayout>
                  <c:x val="0.1189866984697418"/>
                  <c:y val="-0.180069784896258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88-45B2-84DD-936329771F27}"/>
                </c:ext>
              </c:extLst>
            </c:dLbl>
            <c:dLbl>
              <c:idx val="17"/>
              <c:layout>
                <c:manualLayout>
                  <c:x val="0.16206664480896216"/>
                  <c:y val="-0.1699084997475831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88-45B2-84DD-936329771F27}"/>
                </c:ext>
              </c:extLst>
            </c:dLbl>
            <c:dLbl>
              <c:idx val="18"/>
              <c:layout>
                <c:manualLayout>
                  <c:x val="0.1975203482215625"/>
                  <c:y val="-0.1448713424867711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88-45B2-84DD-936329771F2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B Mitra"/>
                    <a:ea typeface="B Mitra"/>
                    <a:cs typeface="B Mitra"/>
                  </a:defRPr>
                </a:pPr>
                <a:endParaRPr lang="prs-AF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'p67'!$A$20:$A$40</c:f>
              <c:strCache>
                <c:ptCount val="21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 1</c:v>
                </c:pt>
                <c:pt idx="7">
                  <c:v>شمالشرق 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یزد</c:v>
                </c:pt>
                <c:pt idx="13">
                  <c:v>کرمان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شرق</c:v>
                </c:pt>
                <c:pt idx="17">
                  <c:v>فارس</c:v>
                </c:pt>
                <c:pt idx="18">
                  <c:v>قم</c:v>
                </c:pt>
                <c:pt idx="19">
                  <c:v>غرب</c:v>
                </c:pt>
                <c:pt idx="20">
                  <c:v>زاگرس </c:v>
                </c:pt>
              </c:strCache>
            </c:strRef>
          </c:cat>
          <c:val>
            <c:numRef>
              <c:f>'p67'!$C$20:$C$40</c:f>
              <c:numCache>
                <c:formatCode>#,##0</c:formatCode>
                <c:ptCount val="21"/>
                <c:pt idx="0">
                  <c:v>680016.73410745698</c:v>
                </c:pt>
                <c:pt idx="1">
                  <c:v>69156.879813299834</c:v>
                </c:pt>
                <c:pt idx="2">
                  <c:v>292303.55959257705</c:v>
                </c:pt>
                <c:pt idx="3">
                  <c:v>4078573.0694320546</c:v>
                </c:pt>
                <c:pt idx="4">
                  <c:v>175041.42199999999</c:v>
                </c:pt>
                <c:pt idx="5">
                  <c:v>302260.16137212893</c:v>
                </c:pt>
                <c:pt idx="6">
                  <c:v>176294.48203199811</c:v>
                </c:pt>
                <c:pt idx="7">
                  <c:v>64076.78</c:v>
                </c:pt>
                <c:pt idx="8">
                  <c:v>5370325.5138648422</c:v>
                </c:pt>
                <c:pt idx="9">
                  <c:v>377725.63047811517</c:v>
                </c:pt>
                <c:pt idx="10">
                  <c:v>563072.30700000003</c:v>
                </c:pt>
                <c:pt idx="11">
                  <c:v>537402.32304320554</c:v>
                </c:pt>
                <c:pt idx="12">
                  <c:v>262697.22167954827</c:v>
                </c:pt>
                <c:pt idx="13">
                  <c:v>413259.61532163282</c:v>
                </c:pt>
                <c:pt idx="14">
                  <c:v>222439.951</c:v>
                </c:pt>
                <c:pt idx="15">
                  <c:v>510202.98874786281</c:v>
                </c:pt>
                <c:pt idx="16">
                  <c:v>98339.732737034617</c:v>
                </c:pt>
                <c:pt idx="17">
                  <c:v>223068.66755948591</c:v>
                </c:pt>
                <c:pt idx="18">
                  <c:v>694426.14496385574</c:v>
                </c:pt>
                <c:pt idx="19">
                  <c:v>169006.05300000001</c:v>
                </c:pt>
                <c:pt idx="20">
                  <c:v>78831.057254883242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B788-45B2-84DD-936329771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Roya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Roya"/>
              </a:rPr>
              <a:t>نمودار شماره 8 - نمودار مقایسه آمار مصرف سوخت گازوئیل در مناطق درسالهاي 1402-1403 </a:t>
            </a:r>
          </a:p>
        </c:rich>
      </c:tx>
      <c:layout>
        <c:manualLayout>
          <c:xMode val="edge"/>
          <c:yMode val="edge"/>
          <c:x val="0.1609591455096549"/>
          <c:y val="2.5958661417322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50375939849623"/>
          <c:y val="0.11364544494974027"/>
          <c:w val="0.88157894736842102"/>
          <c:h val="0.721039151356080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'82j'!$B$20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Up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'82j'!$A$21:$A$41</c:f>
              <c:strCache>
                <c:ptCount val="21"/>
                <c:pt idx="0">
                  <c:v>جنوبشرق</c:v>
                </c:pt>
                <c:pt idx="1">
                  <c:v>شمالغرب</c:v>
                </c:pt>
                <c:pt idx="2">
                  <c:v>شمالشرق 1</c:v>
                </c:pt>
                <c:pt idx="3">
                  <c:v> کرمان</c:v>
                </c:pt>
                <c:pt idx="4">
                  <c:v>قم</c:v>
                </c:pt>
                <c:pt idx="5">
                  <c:v>خراسان</c:v>
                </c:pt>
                <c:pt idx="6">
                  <c:v> لکوموتیو کرج</c:v>
                </c:pt>
                <c:pt idx="7">
                  <c:v>یزد</c:v>
                </c:pt>
                <c:pt idx="8">
                  <c:v> تهران</c:v>
                </c:pt>
                <c:pt idx="9">
                  <c:v>اصفهان</c:v>
                </c:pt>
                <c:pt idx="10">
                  <c:v>جنوب</c:v>
                </c:pt>
                <c:pt idx="11">
                  <c:v>آذربايجان</c:v>
                </c:pt>
                <c:pt idx="12">
                  <c:v>شمال 1</c:v>
                </c:pt>
                <c:pt idx="13">
                  <c:v>زاگرس</c:v>
                </c:pt>
                <c:pt idx="14">
                  <c:v>شمال 2</c:v>
                </c:pt>
                <c:pt idx="15">
                  <c:v>فارس</c:v>
                </c:pt>
                <c:pt idx="16">
                  <c:v>شرق</c:v>
                </c:pt>
                <c:pt idx="17">
                  <c:v>هرمزگان</c:v>
                </c:pt>
                <c:pt idx="18">
                  <c:v>شمالشرق 2</c:v>
                </c:pt>
                <c:pt idx="19">
                  <c:v>اراك</c:v>
                </c:pt>
                <c:pt idx="20">
                  <c:v>لرستان</c:v>
                </c:pt>
              </c:strCache>
            </c:strRef>
          </c:cat>
          <c:val>
            <c:numRef>
              <c:f>'82j'!$B$21:$B$41</c:f>
              <c:numCache>
                <c:formatCode>0</c:formatCode>
                <c:ptCount val="21"/>
                <c:pt idx="0">
                  <c:v>7238</c:v>
                </c:pt>
                <c:pt idx="1">
                  <c:v>6750</c:v>
                </c:pt>
                <c:pt idx="2">
                  <c:v>26942</c:v>
                </c:pt>
                <c:pt idx="3">
                  <c:v>9856</c:v>
                </c:pt>
                <c:pt idx="4">
                  <c:v>22119</c:v>
                </c:pt>
                <c:pt idx="5">
                  <c:v>57979</c:v>
                </c:pt>
                <c:pt idx="6">
                  <c:v>35</c:v>
                </c:pt>
                <c:pt idx="7">
                  <c:v>53087</c:v>
                </c:pt>
                <c:pt idx="8">
                  <c:v>59945</c:v>
                </c:pt>
                <c:pt idx="9">
                  <c:v>49052</c:v>
                </c:pt>
                <c:pt idx="10">
                  <c:v>10161</c:v>
                </c:pt>
                <c:pt idx="11">
                  <c:v>9648</c:v>
                </c:pt>
                <c:pt idx="12">
                  <c:v>6852</c:v>
                </c:pt>
                <c:pt idx="13">
                  <c:v>19345</c:v>
                </c:pt>
                <c:pt idx="14">
                  <c:v>2345</c:v>
                </c:pt>
                <c:pt idx="15">
                  <c:v>4310</c:v>
                </c:pt>
                <c:pt idx="16">
                  <c:v>46323</c:v>
                </c:pt>
                <c:pt idx="17">
                  <c:v>46822</c:v>
                </c:pt>
                <c:pt idx="18">
                  <c:v>1210</c:v>
                </c:pt>
                <c:pt idx="19">
                  <c:v>8204</c:v>
                </c:pt>
                <c:pt idx="20">
                  <c:v>2541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13-4BB8-8987-56D6F39B4F4E}"/>
            </c:ext>
          </c:extLst>
        </c:ser>
        <c:ser>
          <c:idx val="1"/>
          <c:order val="1"/>
          <c:tx>
            <c:strRef>
              <c:f>'82j'!$C$20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80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'82j'!$A$21:$A$41</c:f>
              <c:strCache>
                <c:ptCount val="21"/>
                <c:pt idx="0">
                  <c:v>جنوبشرق</c:v>
                </c:pt>
                <c:pt idx="1">
                  <c:v>شمالغرب</c:v>
                </c:pt>
                <c:pt idx="2">
                  <c:v>شمالشرق 1</c:v>
                </c:pt>
                <c:pt idx="3">
                  <c:v> کرمان</c:v>
                </c:pt>
                <c:pt idx="4">
                  <c:v>قم</c:v>
                </c:pt>
                <c:pt idx="5">
                  <c:v>خراسان</c:v>
                </c:pt>
                <c:pt idx="6">
                  <c:v> لکوموتیو کرج</c:v>
                </c:pt>
                <c:pt idx="7">
                  <c:v>یزد</c:v>
                </c:pt>
                <c:pt idx="8">
                  <c:v> تهران</c:v>
                </c:pt>
                <c:pt idx="9">
                  <c:v>اصفهان</c:v>
                </c:pt>
                <c:pt idx="10">
                  <c:v>جنوب</c:v>
                </c:pt>
                <c:pt idx="11">
                  <c:v>آذربايجان</c:v>
                </c:pt>
                <c:pt idx="12">
                  <c:v>شمال 1</c:v>
                </c:pt>
                <c:pt idx="13">
                  <c:v>زاگرس</c:v>
                </c:pt>
                <c:pt idx="14">
                  <c:v>شمال 2</c:v>
                </c:pt>
                <c:pt idx="15">
                  <c:v>فارس</c:v>
                </c:pt>
                <c:pt idx="16">
                  <c:v>شرق</c:v>
                </c:pt>
                <c:pt idx="17">
                  <c:v>هرمزگان</c:v>
                </c:pt>
                <c:pt idx="18">
                  <c:v>شمالشرق 2</c:v>
                </c:pt>
                <c:pt idx="19">
                  <c:v>اراك</c:v>
                </c:pt>
                <c:pt idx="20">
                  <c:v>لرستان</c:v>
                </c:pt>
              </c:strCache>
            </c:strRef>
          </c:cat>
          <c:val>
            <c:numRef>
              <c:f>'82j'!$C$21:$C$41</c:f>
              <c:numCache>
                <c:formatCode>0</c:formatCode>
                <c:ptCount val="21"/>
                <c:pt idx="0">
                  <c:v>8295</c:v>
                </c:pt>
                <c:pt idx="1">
                  <c:v>6062</c:v>
                </c:pt>
                <c:pt idx="2">
                  <c:v>26319</c:v>
                </c:pt>
                <c:pt idx="3">
                  <c:v>9541</c:v>
                </c:pt>
                <c:pt idx="4">
                  <c:v>26989</c:v>
                </c:pt>
                <c:pt idx="5">
                  <c:v>55408</c:v>
                </c:pt>
                <c:pt idx="6">
                  <c:v>56</c:v>
                </c:pt>
                <c:pt idx="7">
                  <c:v>53955</c:v>
                </c:pt>
                <c:pt idx="8">
                  <c:v>56805</c:v>
                </c:pt>
                <c:pt idx="9">
                  <c:v>44954</c:v>
                </c:pt>
                <c:pt idx="10">
                  <c:v>8888</c:v>
                </c:pt>
                <c:pt idx="11">
                  <c:v>10393</c:v>
                </c:pt>
                <c:pt idx="12">
                  <c:v>8627</c:v>
                </c:pt>
                <c:pt idx="13">
                  <c:v>14128</c:v>
                </c:pt>
                <c:pt idx="14">
                  <c:v>2555</c:v>
                </c:pt>
                <c:pt idx="15">
                  <c:v>3688</c:v>
                </c:pt>
                <c:pt idx="16">
                  <c:v>52356</c:v>
                </c:pt>
                <c:pt idx="17">
                  <c:v>50236</c:v>
                </c:pt>
                <c:pt idx="18">
                  <c:v>1416</c:v>
                </c:pt>
                <c:pt idx="19">
                  <c:v>7587</c:v>
                </c:pt>
                <c:pt idx="20">
                  <c:v>2878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13-4BB8-8987-56D6F39B4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66232896"/>
        <c:axId val="-166234528"/>
      </c:barChart>
      <c:catAx>
        <c:axId val="-16623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66234528"/>
        <c:crosses val="autoZero"/>
        <c:auto val="1"/>
        <c:lblAlgn val="ctr"/>
        <c:lblOffset val="10"/>
        <c:tickLblSkip val="1"/>
        <c:tickMarkSkip val="1"/>
        <c:noMultiLvlLbl val="0"/>
      </c:catAx>
      <c:valAx>
        <c:axId val="-166234528"/>
        <c:scaling>
          <c:orientation val="minMax"/>
          <c:max val="80000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6623289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9.3984962406015032E-3"/>
                <c:y val="0.11252589898175928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1000" b="1" i="0" u="none" strike="noStrike" baseline="0">
                      <a:solidFill>
                        <a:srgbClr val="333399"/>
                      </a:solidFill>
                      <a:latin typeface="B Roya"/>
                      <a:ea typeface="B Roya"/>
                      <a:cs typeface="B Roya"/>
                    </a:defRPr>
                  </a:pPr>
                  <a:r>
                    <a:rPr lang="fa-IR" sz="1000"/>
                    <a:t>هزار  لیتر</a:t>
                  </a:r>
                  <a:endParaRPr lang="en-US" sz="1000"/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701637413806686"/>
          <c:y val="0.17959142607174106"/>
          <c:w val="0.11095330434441963"/>
          <c:h val="0.155212538087911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B Mitra"/>
              <a:ea typeface="B Mitra"/>
              <a:cs typeface="B Nazanin" panose="00000400000000000000" pitchFamily="2" charset="-78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chemeClr val="tx1"/>
                </a:solidFill>
                <a:effectLst/>
              </a:rPr>
              <a:t>نمودار شماره </a:t>
            </a:r>
            <a:r>
              <a:rPr lang="fa-IR" sz="1100" b="1" i="0" u="none" strike="noStrike" baseline="0">
                <a:solidFill>
                  <a:schemeClr val="tx1"/>
                </a:solidFill>
                <a:effectLst/>
              </a:rPr>
              <a:t>20- </a:t>
            </a:r>
            <a:r>
              <a:rPr lang="en-US" sz="1200" b="1" i="0" u="none" strike="noStrike" baseline="0">
                <a:solidFill>
                  <a:schemeClr val="tx1"/>
                </a:solidFill>
                <a:cs typeface="B Nazanin"/>
              </a:rPr>
              <a:t>مقايسه</a:t>
            </a:r>
            <a:r>
              <a:rPr lang="en-US" sz="1200" b="1" i="0" u="none" strike="noStrike" baseline="0">
                <a:solidFill>
                  <a:schemeClr val="tx1"/>
                </a:solidFill>
                <a:latin typeface="Calibri"/>
                <a:cs typeface="B Nazanin"/>
              </a:rPr>
              <a:t> انواع تعميرات انجام شده واگن باري در سالهاي</a:t>
            </a:r>
            <a:r>
              <a:rPr lang="fa-IR" sz="1200" b="1" i="0" u="none" strike="noStrike" baseline="0">
                <a:solidFill>
                  <a:schemeClr val="tx1"/>
                </a:solidFill>
                <a:latin typeface="Calibri"/>
                <a:cs typeface="B Nazanin"/>
              </a:rPr>
              <a:t> 1402 و 1403</a:t>
            </a:r>
            <a:endParaRPr lang="en-US" sz="1200" b="1" i="0" u="none" strike="noStrike" baseline="0">
              <a:solidFill>
                <a:schemeClr val="tx1"/>
              </a:solidFill>
              <a:cs typeface="B Nazanin"/>
            </a:endParaRPr>
          </a:p>
        </c:rich>
      </c:tx>
      <c:layout>
        <c:manualLayout>
          <c:xMode val="edge"/>
          <c:yMode val="edge"/>
          <c:x val="0.21830635525047179"/>
          <c:y val="3.51442433948300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0285433070866"/>
          <c:y val="0.14575678040244966"/>
          <c:w val="0.87328088191141651"/>
          <c:h val="0.7400199768505136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'83j (2)'!$C$15</c:f>
              <c:strCache>
                <c:ptCount val="1"/>
                <c:pt idx="0">
                  <c:v>1402</c:v>
                </c:pt>
              </c:strCache>
            </c:strRef>
          </c:tx>
          <c:spPr>
            <a:pattFill prst="pct80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'83j (2)'!$A$21:$A$22</c:f>
              <c:strCache>
                <c:ptCount val="2"/>
                <c:pt idx="0">
                  <c:v>تعميرات اساسي    </c:v>
                </c:pt>
                <c:pt idx="1">
                  <c:v>تعميرات ويژه        </c:v>
                </c:pt>
              </c:strCache>
            </c:strRef>
          </c:cat>
          <c:val>
            <c:numRef>
              <c:f>'83j (2)'!$C$21:$C$22</c:f>
              <c:numCache>
                <c:formatCode>#,##0</c:formatCode>
                <c:ptCount val="2"/>
                <c:pt idx="0">
                  <c:v>6528</c:v>
                </c:pt>
                <c:pt idx="1">
                  <c:v>42939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87-4A74-88AC-9DDED1DEE9DA}"/>
            </c:ext>
          </c:extLst>
        </c:ser>
        <c:ser>
          <c:idx val="2"/>
          <c:order val="2"/>
          <c:tx>
            <c:strRef>
              <c:f>'83j (2)'!$D$15</c:f>
              <c:strCache>
                <c:ptCount val="1"/>
                <c:pt idx="0">
                  <c:v>1403</c:v>
                </c:pt>
              </c:strCache>
            </c:strRef>
          </c:tx>
          <c:invertIfNegative val="0"/>
          <c:cat>
            <c:strRef>
              <c:f>'83j (2)'!$A$21:$A$22</c:f>
              <c:strCache>
                <c:ptCount val="2"/>
                <c:pt idx="0">
                  <c:v>تعميرات اساسي    </c:v>
                </c:pt>
                <c:pt idx="1">
                  <c:v>تعميرات ويژه        </c:v>
                </c:pt>
              </c:strCache>
            </c:strRef>
          </c:cat>
          <c:val>
            <c:numRef>
              <c:f>'83j (2)'!$D$21:$D$22</c:f>
              <c:numCache>
                <c:formatCode>#,##0</c:formatCode>
                <c:ptCount val="2"/>
                <c:pt idx="0">
                  <c:v>8626</c:v>
                </c:pt>
                <c:pt idx="1">
                  <c:v>40441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87-4A74-88AC-9DDED1DEE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418231664"/>
        <c:axId val="12147989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pattFill prst="dkDnDiag">
                    <a:fgClr>
                      <a:srgbClr val="FFC000"/>
                    </a:fgClr>
                    <a:bgClr>
                      <a:srgbClr val="FFFFFF"/>
                    </a:bgClr>
                  </a:pattFill>
                  <a:ln w="12700">
                    <a:solidFill>
                      <a:srgbClr val="000000"/>
                    </a:solidFill>
                    <a:prstDash val="solid"/>
                  </a:ln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'83j (2)'!$A$21:$A$22</c15:sqref>
                        </c15:formulaRef>
                      </c:ext>
                    </c:extLst>
                    <c:strCache>
                      <c:ptCount val="2"/>
                      <c:pt idx="0">
                        <c:v>تعميرات اساسي    </c:v>
                      </c:pt>
                      <c:pt idx="1">
                        <c:v>تعميرات ويژه       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'83j (2)'!$B$21:$B$22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587-4A74-88AC-9DDED1DEE9DA}"/>
                  </c:ext>
                </c:extLst>
              </c15:ser>
            </c15:filteredBarSeries>
          </c:ext>
        </c:extLst>
      </c:barChart>
      <c:catAx>
        <c:axId val="141823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Zar" panose="00000400000000000000" pitchFamily="2" charset="-78"/>
              </a:defRPr>
            </a:pPr>
            <a:endParaRPr lang="prs-AF"/>
          </a:p>
        </c:txPr>
        <c:crossAx val="121479891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14798912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20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prs-AF"/>
          </a:p>
        </c:txPr>
        <c:crossAx val="141823166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8.6806014387397993E-3"/>
                <c:y val="0.19619498804212077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1100" b="0" i="0" u="none" strike="noStrike" baseline="0">
                      <a:solidFill>
                        <a:srgbClr val="333399"/>
                      </a:solidFill>
                      <a:latin typeface="Calibri"/>
                      <a:ea typeface="Calibri"/>
                      <a:cs typeface="Calibri"/>
                    </a:defRPr>
                  </a:pPr>
                  <a:r>
                    <a:rPr lang="fa-IR"/>
                    <a:t>هزار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 algn="ctr">
              <a:defRPr lang="en-US" sz="105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prs-AF"/>
          </a:p>
        </c:txPr>
      </c:legendEntry>
      <c:layout>
        <c:manualLayout>
          <c:xMode val="edge"/>
          <c:yMode val="edge"/>
          <c:x val="0.23250991538746821"/>
          <c:y val="0.2480101686180575"/>
          <c:w val="0.1052977316805873"/>
          <c:h val="0.17396003954828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 algn="ctr">
            <a:defRPr lang="en-US" sz="1050" b="1" i="0" u="none" strike="noStrike" kern="1200" baseline="0">
              <a:solidFill>
                <a:srgbClr val="000000"/>
              </a:solidFill>
              <a:latin typeface="B Mitra"/>
              <a:ea typeface="B Mitra"/>
              <a:cs typeface="B Mitra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r>
              <a:rPr lang="fa-IR" sz="1200" b="1" i="0" u="none" strike="noStrike" baseline="0">
                <a:solidFill>
                  <a:srgbClr val="333399"/>
                </a:solidFill>
                <a:cs typeface="B Nazanin"/>
              </a:rPr>
              <a:t>نمودار شماره 21 _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میانگين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روزانه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تعداد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لكوموتيو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fa-IR" sz="1200" b="1" i="0" u="none" strike="noStrike" baseline="0">
                <a:solidFill>
                  <a:srgbClr val="333399"/>
                </a:solidFill>
                <a:cs typeface="B Roya"/>
              </a:rPr>
              <a:t>آماده به کار</a:t>
            </a:r>
          </a:p>
          <a:p>
            <a:pPr>
              <a:defRPr sz="1125" b="0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به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تفکيک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نوع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سرويس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و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ماه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در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سال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fa-IR" sz="1200" b="1" i="0" u="none" strike="noStrike" baseline="0">
                <a:solidFill>
                  <a:srgbClr val="333399"/>
                </a:solidFill>
                <a:cs typeface="B Roya"/>
              </a:rPr>
              <a:t>1403</a:t>
            </a:r>
            <a:endParaRPr lang="en-US" sz="1200" b="1" i="0" u="none" strike="noStrike" baseline="0">
              <a:solidFill>
                <a:srgbClr val="333399"/>
              </a:solidFill>
              <a:cs typeface="B Roya"/>
            </a:endParaRPr>
          </a:p>
        </c:rich>
      </c:tx>
      <c:layout>
        <c:manualLayout>
          <c:xMode val="edge"/>
          <c:yMode val="edge"/>
          <c:x val="0.21391676607159843"/>
          <c:y val="2.83073552840222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3768115942029"/>
          <c:y val="0.18979727039180336"/>
          <c:w val="0.84299516908212557"/>
          <c:h val="0.66976678617749696"/>
        </c:manualLayout>
      </c:layout>
      <c:lineChart>
        <c:grouping val="standard"/>
        <c:varyColors val="0"/>
        <c:ser>
          <c:idx val="0"/>
          <c:order val="0"/>
          <c:tx>
            <c:strRef>
              <c:f>'95j'!$O$3</c:f>
              <c:strCache>
                <c:ptCount val="1"/>
                <c:pt idx="0">
                  <c:v>باري</c:v>
                </c:pt>
              </c:strCache>
            </c:strRef>
          </c:tx>
          <c:spPr>
            <a:ln w="38100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'95j'!$L$4:$L$15</c:f>
              <c:strCache>
                <c:ptCount val="12"/>
                <c:pt idx="0">
                  <c:v>فروردين</c:v>
                </c:pt>
                <c:pt idx="1">
                  <c:v>ارديبهشت</c:v>
                </c:pt>
                <c:pt idx="2">
                  <c:v>خرداد</c:v>
                </c:pt>
                <c:pt idx="3">
                  <c:v>تير</c:v>
                </c:pt>
                <c:pt idx="4">
                  <c:v>مرداد</c:v>
                </c:pt>
                <c:pt idx="5">
                  <c:v>شهريور</c:v>
                </c:pt>
                <c:pt idx="6">
                  <c:v>مهر</c:v>
                </c:pt>
                <c:pt idx="7">
                  <c:v>آبان</c:v>
                </c:pt>
                <c:pt idx="8">
                  <c:v>آذر</c:v>
                </c:pt>
                <c:pt idx="9">
                  <c:v>دي</c:v>
                </c:pt>
                <c:pt idx="10">
                  <c:v>بهمن</c:v>
                </c:pt>
                <c:pt idx="11">
                  <c:v>اسفند</c:v>
                </c:pt>
              </c:strCache>
            </c:strRef>
          </c:cat>
          <c:val>
            <c:numRef>
              <c:f>'95j'!$O$4:$O$15</c:f>
              <c:numCache>
                <c:formatCode>0</c:formatCode>
                <c:ptCount val="12"/>
                <c:pt idx="0">
                  <c:v>283.83870967741933</c:v>
                </c:pt>
                <c:pt idx="1">
                  <c:v>275.09677419354841</c:v>
                </c:pt>
                <c:pt idx="2">
                  <c:v>256.32258064516128</c:v>
                </c:pt>
                <c:pt idx="3">
                  <c:v>254.51612903225808</c:v>
                </c:pt>
                <c:pt idx="4">
                  <c:v>253.03225806451613</c:v>
                </c:pt>
                <c:pt idx="5">
                  <c:v>271.12903225806451</c:v>
                </c:pt>
                <c:pt idx="6">
                  <c:v>271.76666666666665</c:v>
                </c:pt>
                <c:pt idx="7">
                  <c:v>280.63333333333333</c:v>
                </c:pt>
                <c:pt idx="8">
                  <c:v>296.03333333333336</c:v>
                </c:pt>
                <c:pt idx="9">
                  <c:v>299.13333333333333</c:v>
                </c:pt>
                <c:pt idx="10">
                  <c:v>306.83333333333331</c:v>
                </c:pt>
                <c:pt idx="11">
                  <c:v>317.46666666666664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86-42B3-A3A3-0988C242675D}"/>
            </c:ext>
          </c:extLst>
        </c:ser>
        <c:ser>
          <c:idx val="1"/>
          <c:order val="1"/>
          <c:tx>
            <c:strRef>
              <c:f>'95j'!$P$3</c:f>
              <c:strCache>
                <c:ptCount val="1"/>
                <c:pt idx="0">
                  <c:v>مسافري</c:v>
                </c:pt>
              </c:strCache>
            </c:strRef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FFFF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'95j'!$L$4:$L$15</c:f>
              <c:strCache>
                <c:ptCount val="12"/>
                <c:pt idx="0">
                  <c:v>فروردين</c:v>
                </c:pt>
                <c:pt idx="1">
                  <c:v>ارديبهشت</c:v>
                </c:pt>
                <c:pt idx="2">
                  <c:v>خرداد</c:v>
                </c:pt>
                <c:pt idx="3">
                  <c:v>تير</c:v>
                </c:pt>
                <c:pt idx="4">
                  <c:v>مرداد</c:v>
                </c:pt>
                <c:pt idx="5">
                  <c:v>شهريور</c:v>
                </c:pt>
                <c:pt idx="6">
                  <c:v>مهر</c:v>
                </c:pt>
                <c:pt idx="7">
                  <c:v>آبان</c:v>
                </c:pt>
                <c:pt idx="8">
                  <c:v>آذر</c:v>
                </c:pt>
                <c:pt idx="9">
                  <c:v>دي</c:v>
                </c:pt>
                <c:pt idx="10">
                  <c:v>بهمن</c:v>
                </c:pt>
                <c:pt idx="11">
                  <c:v>اسفند</c:v>
                </c:pt>
              </c:strCache>
            </c:strRef>
          </c:cat>
          <c:val>
            <c:numRef>
              <c:f>'95j'!$P$4:$P$15</c:f>
              <c:numCache>
                <c:formatCode>0</c:formatCode>
                <c:ptCount val="12"/>
                <c:pt idx="0">
                  <c:v>113.90322580645162</c:v>
                </c:pt>
                <c:pt idx="1">
                  <c:v>114.3225806451613</c:v>
                </c:pt>
                <c:pt idx="2">
                  <c:v>110.12903225806451</c:v>
                </c:pt>
                <c:pt idx="3">
                  <c:v>107.7741935483871</c:v>
                </c:pt>
                <c:pt idx="4">
                  <c:v>107.51612903225806</c:v>
                </c:pt>
                <c:pt idx="5">
                  <c:v>109.7741935483871</c:v>
                </c:pt>
                <c:pt idx="6">
                  <c:v>110.33333333333333</c:v>
                </c:pt>
                <c:pt idx="7">
                  <c:v>111.4</c:v>
                </c:pt>
                <c:pt idx="8">
                  <c:v>111.4</c:v>
                </c:pt>
                <c:pt idx="9">
                  <c:v>109.16666666666667</c:v>
                </c:pt>
                <c:pt idx="10">
                  <c:v>110.86666666666666</c:v>
                </c:pt>
                <c:pt idx="11">
                  <c:v>114.3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86-42B3-A3A3-0988C2426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2507136"/>
        <c:axId val="1532512032"/>
      </c:lineChart>
      <c:catAx>
        <c:axId val="153250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1532512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512032"/>
        <c:scaling>
          <c:orientation val="minMax"/>
          <c:max val="40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333399"/>
                    </a:solidFill>
                    <a:latin typeface="B Roya"/>
                    <a:ea typeface="B Roya"/>
                    <a:cs typeface="B Roya"/>
                  </a:defRPr>
                </a:pPr>
                <a:r>
                  <a:rPr lang="fa-IR"/>
                  <a:t>دستگاه</a:t>
                </a:r>
              </a:p>
            </c:rich>
          </c:tx>
          <c:layout>
            <c:manualLayout>
              <c:xMode val="edge"/>
              <c:yMode val="edge"/>
              <c:x val="7.8683099395184287E-3"/>
              <c:y val="0.206868816878659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1532507136"/>
        <c:crosses val="autoZero"/>
        <c:crossBetween val="between"/>
        <c:majorUnit val="5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999915875900138"/>
          <c:y val="0.45625061018316104"/>
          <c:w val="0.1503672638746244"/>
          <c:h val="0.1555077730668282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5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0.98425196850393704" l="0.74803149606299213" r="0.74803149606299213" t="0.98425196850393704" header="0.51181102362204722" footer="0.5118110236220472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r>
              <a:rPr lang="fa-IR" sz="1200" b="1" i="0" u="none" strike="noStrike" baseline="0">
                <a:solidFill>
                  <a:srgbClr val="333399"/>
                </a:solidFill>
                <a:cs typeface="B Nazanin"/>
              </a:rPr>
              <a:t>نمودار شماره 22 _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ميانگين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روزانه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مسافت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پيموده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شده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توسط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هر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لکوموتيو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fa-IR" sz="1200" b="1" i="0" u="none" strike="noStrike" baseline="0">
                <a:solidFill>
                  <a:srgbClr val="333399"/>
                </a:solidFill>
                <a:cs typeface="B Nazanin"/>
              </a:rPr>
              <a:t>آماده به کار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به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تفکيک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نوع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سرويس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و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ماه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در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سال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fa-IR" sz="1200" b="1" i="0" u="none" strike="noStrike" baseline="0">
                <a:solidFill>
                  <a:srgbClr val="333399"/>
                </a:solidFill>
                <a:cs typeface="B Roya"/>
              </a:rPr>
              <a:t> 1403</a:t>
            </a:r>
            <a:endParaRPr lang="en-US" sz="1200" b="1" i="0" u="none" strike="noStrike" baseline="0">
              <a:solidFill>
                <a:srgbClr val="333399"/>
              </a:solidFill>
              <a:cs typeface="B Roya"/>
            </a:endParaRPr>
          </a:p>
        </c:rich>
      </c:tx>
      <c:layout>
        <c:manualLayout>
          <c:xMode val="edge"/>
          <c:yMode val="edge"/>
          <c:x val="0.17175682153654845"/>
          <c:y val="4.80157356216997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37406080173651"/>
          <c:y val="0.20029066172225626"/>
          <c:w val="0.84644816867375172"/>
          <c:h val="0.66350943966227316"/>
        </c:manualLayout>
      </c:layout>
      <c:lineChart>
        <c:grouping val="standard"/>
        <c:varyColors val="0"/>
        <c:ser>
          <c:idx val="0"/>
          <c:order val="0"/>
          <c:tx>
            <c:strRef>
              <c:f>'95j'!$M$3</c:f>
              <c:strCache>
                <c:ptCount val="1"/>
                <c:pt idx="0">
                  <c:v>باري </c:v>
                </c:pt>
              </c:strCache>
            </c:strRef>
          </c:tx>
          <c:spPr>
            <a:ln w="38100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'95j'!$L$4:$L$15</c:f>
              <c:strCache>
                <c:ptCount val="12"/>
                <c:pt idx="0">
                  <c:v>فروردين</c:v>
                </c:pt>
                <c:pt idx="1">
                  <c:v>ارديبهشت</c:v>
                </c:pt>
                <c:pt idx="2">
                  <c:v>خرداد</c:v>
                </c:pt>
                <c:pt idx="3">
                  <c:v>تير</c:v>
                </c:pt>
                <c:pt idx="4">
                  <c:v>مرداد</c:v>
                </c:pt>
                <c:pt idx="5">
                  <c:v>شهريور</c:v>
                </c:pt>
                <c:pt idx="6">
                  <c:v>مهر</c:v>
                </c:pt>
                <c:pt idx="7">
                  <c:v>آبان</c:v>
                </c:pt>
                <c:pt idx="8">
                  <c:v>آذر</c:v>
                </c:pt>
                <c:pt idx="9">
                  <c:v>دي</c:v>
                </c:pt>
                <c:pt idx="10">
                  <c:v>بهمن</c:v>
                </c:pt>
                <c:pt idx="11">
                  <c:v>اسفند</c:v>
                </c:pt>
              </c:strCache>
            </c:strRef>
          </c:cat>
          <c:val>
            <c:numRef>
              <c:f>'95j'!$M$4:$M$15</c:f>
              <c:numCache>
                <c:formatCode>0</c:formatCode>
                <c:ptCount val="12"/>
                <c:pt idx="0">
                  <c:v>435.97590635299468</c:v>
                </c:pt>
                <c:pt idx="1">
                  <c:v>416.78166041275796</c:v>
                </c:pt>
                <c:pt idx="2">
                  <c:v>414.9076264787314</c:v>
                </c:pt>
                <c:pt idx="3">
                  <c:v>420.65133079847908</c:v>
                </c:pt>
                <c:pt idx="4">
                  <c:v>425.37302396736357</c:v>
                </c:pt>
                <c:pt idx="5">
                  <c:v>438.49101725163592</c:v>
                </c:pt>
                <c:pt idx="6">
                  <c:v>446.91868024040235</c:v>
                </c:pt>
                <c:pt idx="7">
                  <c:v>434.01900463237916</c:v>
                </c:pt>
                <c:pt idx="8">
                  <c:v>420.62166422700147</c:v>
                </c:pt>
                <c:pt idx="9">
                  <c:v>429.47236460887007</c:v>
                </c:pt>
                <c:pt idx="10">
                  <c:v>408.79185225420969</c:v>
                </c:pt>
                <c:pt idx="11">
                  <c:v>404.12494750105003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AB-4BBE-A392-F52F7F1F7782}"/>
            </c:ext>
          </c:extLst>
        </c:ser>
        <c:ser>
          <c:idx val="1"/>
          <c:order val="1"/>
          <c:tx>
            <c:strRef>
              <c:f>'95j'!$N$3</c:f>
              <c:strCache>
                <c:ptCount val="1"/>
                <c:pt idx="0">
                  <c:v>مسافري</c:v>
                </c:pt>
              </c:strCache>
            </c:strRef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FFFF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'95j'!$L$4:$L$15</c:f>
              <c:strCache>
                <c:ptCount val="12"/>
                <c:pt idx="0">
                  <c:v>فروردين</c:v>
                </c:pt>
                <c:pt idx="1">
                  <c:v>ارديبهشت</c:v>
                </c:pt>
                <c:pt idx="2">
                  <c:v>خرداد</c:v>
                </c:pt>
                <c:pt idx="3">
                  <c:v>تير</c:v>
                </c:pt>
                <c:pt idx="4">
                  <c:v>مرداد</c:v>
                </c:pt>
                <c:pt idx="5">
                  <c:v>شهريور</c:v>
                </c:pt>
                <c:pt idx="6">
                  <c:v>مهر</c:v>
                </c:pt>
                <c:pt idx="7">
                  <c:v>آبان</c:v>
                </c:pt>
                <c:pt idx="8">
                  <c:v>آذر</c:v>
                </c:pt>
                <c:pt idx="9">
                  <c:v>دي</c:v>
                </c:pt>
                <c:pt idx="10">
                  <c:v>بهمن</c:v>
                </c:pt>
                <c:pt idx="11">
                  <c:v>اسفند</c:v>
                </c:pt>
              </c:strCache>
            </c:strRef>
          </c:cat>
          <c:val>
            <c:numRef>
              <c:f>'95j'!$N$4:$N$15</c:f>
              <c:numCache>
                <c:formatCode>0</c:formatCode>
                <c:ptCount val="12"/>
                <c:pt idx="0">
                  <c:v>879.30359671481165</c:v>
                </c:pt>
                <c:pt idx="1">
                  <c:v>904.6264108352143</c:v>
                </c:pt>
                <c:pt idx="2">
                  <c:v>913.93468072642054</c:v>
                </c:pt>
                <c:pt idx="3">
                  <c:v>928.17150553726424</c:v>
                </c:pt>
                <c:pt idx="4">
                  <c:v>904.24092409240927</c:v>
                </c:pt>
                <c:pt idx="5">
                  <c:v>924.86805759623849</c:v>
                </c:pt>
                <c:pt idx="6">
                  <c:v>898.52628398791535</c:v>
                </c:pt>
                <c:pt idx="7">
                  <c:v>904.43117893476949</c:v>
                </c:pt>
                <c:pt idx="8">
                  <c:v>899.60771992818673</c:v>
                </c:pt>
                <c:pt idx="9">
                  <c:v>933.76396946564876</c:v>
                </c:pt>
                <c:pt idx="10">
                  <c:v>924.00992182802167</c:v>
                </c:pt>
                <c:pt idx="11">
                  <c:v>922.1825605132691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AB-4BBE-A392-F52F7F1F7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2505504"/>
        <c:axId val="1532510944"/>
      </c:lineChart>
      <c:catAx>
        <c:axId val="153250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1532510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510944"/>
        <c:scaling>
          <c:orientation val="minMax"/>
          <c:max val="105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333399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a-IR"/>
                  <a:t>کیلومتر</a:t>
                </a:r>
              </a:p>
            </c:rich>
          </c:tx>
          <c:layout>
            <c:manualLayout>
              <c:xMode val="edge"/>
              <c:yMode val="edge"/>
              <c:x val="1.867095726958181E-2"/>
              <c:y val="0.209372374552471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1532505504"/>
        <c:crosses val="autoZero"/>
        <c:crossBetween val="between"/>
        <c:majorUnit val="15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567475065616789"/>
          <c:y val="0.37674849467345994"/>
          <c:w val="0.14862838347738183"/>
          <c:h val="0.131340568244572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5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نمودار شماره 24 - سهم كاركنان برحسب سابقه کاری در سال 14</a:t>
            </a:r>
            <a:r>
              <a:rPr lang="prs-AF"/>
              <a:t>03</a:t>
            </a:r>
            <a:endParaRPr lang="fa-IR"/>
          </a:p>
        </c:rich>
      </c:tx>
      <c:layout>
        <c:manualLayout>
          <c:xMode val="edge"/>
          <c:yMode val="edge"/>
          <c:x val="0.21495750455251419"/>
          <c:y val="7.7299407089811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rs-AF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380272105787975"/>
          <c:y val="0.38686982096716616"/>
          <c:w val="0.74488567990373034"/>
          <c:h val="0.4649989467151747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F868-415D-8891-89AF4611AC4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F868-415D-8891-89AF4611AC4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F868-415D-8891-89AF4611AC4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F868-415D-8891-89AF4611AC4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F868-415D-8891-89AF4611AC4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F868-415D-8891-89AF4611AC4A}"/>
              </c:ext>
            </c:extLst>
          </c:dPt>
          <c:dLbls>
            <c:dLbl>
              <c:idx val="0"/>
              <c:layout>
                <c:manualLayout>
                  <c:x val="2.5740025740025613E-2"/>
                  <c:y val="-7.890626800016885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68-415D-8891-89AF4611AC4A}"/>
                </c:ext>
              </c:extLst>
            </c:dLbl>
            <c:dLbl>
              <c:idx val="1"/>
              <c:layout>
                <c:manualLayout>
                  <c:x val="4.1184041184041183E-2"/>
                  <c:y val="5.58919398334527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68-415D-8891-89AF4611AC4A}"/>
                </c:ext>
              </c:extLst>
            </c:dLbl>
            <c:dLbl>
              <c:idx val="2"/>
              <c:layout>
                <c:manualLayout>
                  <c:x val="-7.2072072072072071E-2"/>
                  <c:y val="9.863283500021097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68-415D-8891-89AF4611AC4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F868-415D-8891-89AF4611AC4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'100-103j '!$AD$82:$AD$84</c:f>
              <c:strCache>
                <c:ptCount val="3"/>
                <c:pt idx="0">
                  <c:v>10-20</c:v>
                </c:pt>
                <c:pt idx="1">
                  <c:v>20-30</c:v>
                </c:pt>
                <c:pt idx="2">
                  <c:v>30به بالا</c:v>
                </c:pt>
              </c:strCache>
            </c:strRef>
          </c:cat>
          <c:val>
            <c:numRef>
              <c:f>'100-103j '!$AF$81:$AF$84</c:f>
              <c:numCache>
                <c:formatCode>0.00</c:formatCode>
                <c:ptCount val="4"/>
                <c:pt idx="0">
                  <c:v>0.13556264742611351</c:v>
                </c:pt>
                <c:pt idx="1">
                  <c:v>0.35590398223948938</c:v>
                </c:pt>
                <c:pt idx="2">
                  <c:v>0.47190231719161924</c:v>
                </c:pt>
                <c:pt idx="3">
                  <c:v>3.6631053142777856E-2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868-415D-8891-89AF4611AC4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rs-AF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99"/>
                </a:solidFill>
                <a:latin typeface="B Roya"/>
                <a:ea typeface="B Roya"/>
                <a:cs typeface="B Roya"/>
              </a:defRPr>
            </a:pPr>
            <a:r>
              <a:rPr lang="fa-IR" sz="900">
                <a:solidFill>
                  <a:srgbClr val="000099"/>
                </a:solidFill>
              </a:rPr>
              <a:t>چ - تناژبار ترانزیت</a:t>
            </a:r>
          </a:p>
        </c:rich>
      </c:tx>
      <c:layout>
        <c:manualLayout>
          <c:xMode val="edge"/>
          <c:yMode val="edge"/>
          <c:x val="0.40320926550847813"/>
          <c:y val="2.7777963924722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21146953405018"/>
          <c:y val="0.16258336444402838"/>
          <c:w val="0.78954736506189216"/>
          <c:h val="0.7097733073620122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33CC33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'18'!$E$2:$N$2</c:f>
              <c:numCache>
                <c:formatCode>General</c:formatCode>
                <c:ptCount val="10"/>
                <c:pt idx="0">
                  <c:v>1394</c:v>
                </c:pt>
                <c:pt idx="1">
                  <c:v>1395</c:v>
                </c:pt>
                <c:pt idx="2">
                  <c:v>1396</c:v>
                </c:pt>
                <c:pt idx="3">
                  <c:v>1397</c:v>
                </c:pt>
                <c:pt idx="4">
                  <c:v>1398</c:v>
                </c:pt>
                <c:pt idx="5">
                  <c:v>1399</c:v>
                </c:pt>
                <c:pt idx="6">
                  <c:v>1400</c:v>
                </c:pt>
                <c:pt idx="7">
                  <c:v>1401</c:v>
                </c:pt>
                <c:pt idx="8">
                  <c:v>1402</c:v>
                </c:pt>
                <c:pt idx="9">
                  <c:v>1403</c:v>
                </c:pt>
              </c:numCache>
            </c:numRef>
          </c:cat>
          <c:val>
            <c:numRef>
              <c:f>'18'!$E$21:$N$21</c:f>
              <c:numCache>
                <c:formatCode>#,##0</c:formatCode>
                <c:ptCount val="10"/>
                <c:pt idx="0">
                  <c:v>1435</c:v>
                </c:pt>
                <c:pt idx="1">
                  <c:v>1142.6420000000001</c:v>
                </c:pt>
                <c:pt idx="2">
                  <c:v>1585.9590000000001</c:v>
                </c:pt>
                <c:pt idx="3">
                  <c:v>1584.624</c:v>
                </c:pt>
                <c:pt idx="4">
                  <c:v>622</c:v>
                </c:pt>
                <c:pt idx="5">
                  <c:v>806.51700000000005</c:v>
                </c:pt>
                <c:pt idx="6">
                  <c:v>1938.059</c:v>
                </c:pt>
                <c:pt idx="7">
                  <c:v>1432.5820000000001</c:v>
                </c:pt>
                <c:pt idx="8">
                  <c:v>1570.434</c:v>
                </c:pt>
                <c:pt idx="9">
                  <c:v>2373.7829999999999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8D-45D7-810A-8FC888F41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8808864"/>
        <c:axId val="-1538819744"/>
      </c:lineChart>
      <c:catAx>
        <c:axId val="-153880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19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38819744"/>
        <c:scaling>
          <c:orientation val="minMax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600" b="1" i="0" u="none" strike="noStrike" baseline="0">
                    <a:solidFill>
                      <a:srgbClr val="FF0000"/>
                    </a:solidFill>
                    <a:latin typeface="B Roya"/>
                    <a:ea typeface="B Roya"/>
                    <a:cs typeface="B Roya"/>
                  </a:defRPr>
                </a:pPr>
                <a:r>
                  <a:rPr lang="fa-IR"/>
                  <a:t>هزارتن</a:t>
                </a:r>
              </a:p>
            </c:rich>
          </c:tx>
          <c:layout>
            <c:manualLayout>
              <c:xMode val="edge"/>
              <c:yMode val="edge"/>
              <c:x val="2.1665625130192059E-2"/>
              <c:y val="0.1874858993689618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088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نمودار شماره 25 - سهم كاركنان برحسب وضعیت اشتغال در سال </a:t>
            </a:r>
            <a:r>
              <a:rPr lang="prs-AF"/>
              <a:t>1403</a:t>
            </a:r>
            <a:endParaRPr lang="fa-IR"/>
          </a:p>
        </c:rich>
      </c:tx>
      <c:layout>
        <c:manualLayout>
          <c:xMode val="edge"/>
          <c:yMode val="edge"/>
          <c:x val="0.20774007137321684"/>
          <c:y val="6.7436123589789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rs-AF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894241348628505"/>
          <c:y val="0.38358205980049243"/>
          <c:w val="0.74488567990373034"/>
          <c:h val="0.4649989467151747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0F4E-4749-A741-47025B6133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0F4E-4749-A741-47025B6133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0F4E-4749-A741-47025B6133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0F4E-4749-A741-47025B6133A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0F4E-4749-A741-47025B6133A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0F4E-4749-A741-47025B6133A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0F4E-4749-A741-47025B6133A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F4E-4749-A741-47025B6133A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F4E-4749-A741-47025B6133A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F4E-4749-A741-47025B6133A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F4E-4749-A741-47025B6133A9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F4E-4749-A741-47025B6133A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0F4E-4749-A741-47025B6133A9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0F4E-4749-A741-47025B6133A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'100-103j '!$C$162:$G$168</c:f>
              <c:strCache>
                <c:ptCount val="7"/>
                <c:pt idx="0">
                  <c:v>کارگری موقت</c:v>
                </c:pt>
                <c:pt idx="1">
                  <c:v> رسمي</c:v>
                </c:pt>
                <c:pt idx="2">
                  <c:v> روزمزد</c:v>
                </c:pt>
                <c:pt idx="3">
                  <c:v>ثابت شركتي</c:v>
                </c:pt>
                <c:pt idx="4">
                  <c:v>قرارداد معين مشخص</c:v>
                </c:pt>
                <c:pt idx="5">
                  <c:v>پيماني</c:v>
                </c:pt>
                <c:pt idx="6">
                  <c:v>ساعتي</c:v>
                </c:pt>
              </c:strCache>
            </c:strRef>
          </c:cat>
          <c:val>
            <c:numRef>
              <c:f>'100-103j '!$X$162:$X$168</c:f>
              <c:numCache>
                <c:formatCode>0.000</c:formatCode>
                <c:ptCount val="7"/>
                <c:pt idx="0">
                  <c:v>0.12207753773305711</c:v>
                </c:pt>
                <c:pt idx="1">
                  <c:v>0.50221959159514651</c:v>
                </c:pt>
                <c:pt idx="2">
                  <c:v>7.0583012725658478E-2</c:v>
                </c:pt>
                <c:pt idx="3">
                  <c:v>6.3480319621189704E-2</c:v>
                </c:pt>
                <c:pt idx="4">
                  <c:v>0.1313998224326724</c:v>
                </c:pt>
                <c:pt idx="5">
                  <c:v>0.10787215152411957</c:v>
                </c:pt>
                <c:pt idx="6">
                  <c:v>2.3675643681562593E-3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F4E-4749-A741-47025B6133A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rs-AF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نمودار شماره 23-سهم كاركنان برحسب مقاطع تحصيلي در سال 14</a:t>
            </a:r>
            <a:r>
              <a:rPr lang="prs-AF"/>
              <a:t>03</a:t>
            </a:r>
            <a:r>
              <a:rPr lang="fa-IR"/>
              <a:t> </a:t>
            </a:r>
          </a:p>
        </c:rich>
      </c:tx>
      <c:layout>
        <c:manualLayout>
          <c:xMode val="edge"/>
          <c:yMode val="edge"/>
          <c:x val="0.18953283413102773"/>
          <c:y val="3.14148410531778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rs-AF"/>
        </a:p>
      </c:txPr>
    </c:title>
    <c:autoTitleDeleted val="0"/>
    <c:view3D>
      <c:rotX val="30"/>
      <c:rotY val="3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34791133036081"/>
          <c:y val="0.42822733696749443"/>
          <c:w val="0.58842778271686813"/>
          <c:h val="0.4532691009430784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7831-4128-9709-E9557D02BDFA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7831-4128-9709-E9557D02BD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831-4128-9709-E9557D02BDF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7831-4128-9709-E9557D02BDF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7831-4128-9709-E9557D02BDF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7831-4128-9709-E9557D02BDFA}"/>
              </c:ext>
            </c:extLst>
          </c:dPt>
          <c:dLbls>
            <c:dLbl>
              <c:idx val="0"/>
              <c:layout>
                <c:manualLayout>
                  <c:x val="7.2632954118686116E-2"/>
                  <c:y val="-9.933142311365807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31-4128-9709-E9557D02BDFA}"/>
                </c:ext>
              </c:extLst>
            </c:dLbl>
            <c:dLbl>
              <c:idx val="1"/>
              <c:layout>
                <c:manualLayout>
                  <c:x val="8.9926514623135195E-2"/>
                  <c:y val="6.49474689589302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31-4128-9709-E9557D02BDFA}"/>
                </c:ext>
              </c:extLst>
            </c:dLbl>
            <c:dLbl>
              <c:idx val="2"/>
              <c:layout>
                <c:manualLayout>
                  <c:x val="-7.7821022270020843E-2"/>
                  <c:y val="2.29226361031517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31-4128-9709-E9557D02BDFA}"/>
                </c:ext>
              </c:extLst>
            </c:dLbl>
            <c:dLbl>
              <c:idx val="3"/>
              <c:layout>
                <c:manualLayout>
                  <c:x val="-7.0903598068241203E-2"/>
                  <c:y val="-3.82043935052531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31-4128-9709-E9557D02BDFA}"/>
                </c:ext>
              </c:extLst>
            </c:dLbl>
            <c:dLbl>
              <c:idx val="4"/>
              <c:layout>
                <c:manualLayout>
                  <c:x val="-7.6091666219575999E-2"/>
                  <c:y val="-7.640878701050621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31-4128-9709-E9557D02BDFA}"/>
                </c:ext>
              </c:extLst>
            </c:dLbl>
            <c:dLbl>
              <c:idx val="5"/>
              <c:layout>
                <c:manualLayout>
                  <c:x val="6.0527461765571701E-2"/>
                  <c:y val="-0.1375358166189112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rs-AF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31-4128-9709-E9557D02BDF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'100-103j '!$W$145:$AB$145</c:f>
              <c:strCache>
                <c:ptCount val="6"/>
                <c:pt idx="0">
                  <c:v>كارشناسي ارشدو بالاتر</c:v>
                </c:pt>
                <c:pt idx="1">
                  <c:v>كارشناسي</c:v>
                </c:pt>
                <c:pt idx="2">
                  <c:v>كارداني</c:v>
                </c:pt>
                <c:pt idx="3">
                  <c:v>ديپلم</c:v>
                </c:pt>
                <c:pt idx="4">
                  <c:v>سوم راهنمايي</c:v>
                </c:pt>
                <c:pt idx="5">
                  <c:v>پایان ابتدایی و کمتر</c:v>
                </c:pt>
              </c:strCache>
            </c:strRef>
          </c:cat>
          <c:val>
            <c:numRef>
              <c:f>'100-103j '!$W$153:$AB$153</c:f>
              <c:numCache>
                <c:formatCode>0.0%</c:formatCode>
                <c:ptCount val="6"/>
                <c:pt idx="0">
                  <c:v>0.17505179047055341</c:v>
                </c:pt>
                <c:pt idx="1">
                  <c:v>0.34951168984906777</c:v>
                </c:pt>
                <c:pt idx="2">
                  <c:v>0.24267534773601657</c:v>
                </c:pt>
                <c:pt idx="3">
                  <c:v>0.21604024859425866</c:v>
                </c:pt>
                <c:pt idx="4">
                  <c:v>1.3761467889908258E-2</c:v>
                </c:pt>
                <c:pt idx="5">
                  <c:v>2.9594554601953238E-3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831-4128-9709-E9557D02BDF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rs-AF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333399"/>
                </a:solidFill>
                <a:latin typeface="B Mitra"/>
                <a:ea typeface="B Mitra"/>
                <a:cs typeface="B Mitra"/>
              </a:defRPr>
            </a:pPr>
            <a:r>
              <a:rPr lang="fa-IR"/>
              <a:t>نمودارشماره 26- تعدادكاركنان واحدهاي مختلف درسال</a:t>
            </a:r>
            <a:r>
              <a:rPr lang="prs-AF"/>
              <a:t>1403</a:t>
            </a:r>
            <a:endParaRPr lang="fa-IR"/>
          </a:p>
        </c:rich>
      </c:tx>
      <c:layout>
        <c:manualLayout>
          <c:xMode val="edge"/>
          <c:yMode val="edge"/>
          <c:x val="0.23801346716644448"/>
          <c:y val="4.2056494039566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3453670276775"/>
          <c:y val="0.12475354677581602"/>
          <c:w val="0.85258724428399524"/>
          <c:h val="0.73064830552568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'100-103j '!$AA$97</c:f>
              <c:strCache>
                <c:ptCount val="1"/>
                <c:pt idx="0">
                  <c:v>رسمي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'[5]100-103j'!$Z$96:$Z$117</c:f>
              <c:strCache>
                <c:ptCount val="22"/>
                <c:pt idx="0">
                  <c:v>مركز</c:v>
                </c:pt>
                <c:pt idx="1">
                  <c:v>جنوب</c:v>
                </c:pt>
                <c:pt idx="2">
                  <c:v>لرستان</c:v>
                </c:pt>
                <c:pt idx="3">
                  <c:v>اراك</c:v>
                </c:pt>
                <c:pt idx="4">
                  <c:v>زاگرس</c:v>
                </c:pt>
                <c:pt idx="5">
                  <c:v>تهران</c:v>
                </c:pt>
                <c:pt idx="6">
                  <c:v>شمال</c:v>
                </c:pt>
                <c:pt idx="7">
                  <c:v>شمالشرق1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شمالشرق2</c:v>
                </c:pt>
                <c:pt idx="13">
                  <c:v>قم </c:v>
                </c:pt>
                <c:pt idx="14">
                  <c:v>یزد </c:v>
                </c:pt>
                <c:pt idx="15">
                  <c:v>هرمزگان </c:v>
                </c:pt>
                <c:pt idx="16">
                  <c:v>شرق</c:v>
                </c:pt>
                <c:pt idx="17">
                  <c:v>كرمان</c:v>
                </c:pt>
                <c:pt idx="18">
                  <c:v>فارس</c:v>
                </c:pt>
                <c:pt idx="19">
                  <c:v>جنوبشرق</c:v>
                </c:pt>
                <c:pt idx="20">
                  <c:v>غرب</c:v>
                </c:pt>
                <c:pt idx="21">
                  <c:v>شمال2</c:v>
                </c:pt>
              </c:strCache>
            </c:strRef>
          </c:cat>
          <c:val>
            <c:numRef>
              <c:f>'100-103j '!$AA$98:$AA$119</c:f>
              <c:numCache>
                <c:formatCode>General</c:formatCode>
                <c:ptCount val="22"/>
                <c:pt idx="0">
                  <c:v>344</c:v>
                </c:pt>
                <c:pt idx="1">
                  <c:v>165</c:v>
                </c:pt>
                <c:pt idx="2">
                  <c:v>59</c:v>
                </c:pt>
                <c:pt idx="3">
                  <c:v>178</c:v>
                </c:pt>
                <c:pt idx="4">
                  <c:v>134</c:v>
                </c:pt>
                <c:pt idx="5">
                  <c:v>292</c:v>
                </c:pt>
                <c:pt idx="6">
                  <c:v>182</c:v>
                </c:pt>
                <c:pt idx="7">
                  <c:v>220</c:v>
                </c:pt>
                <c:pt idx="8">
                  <c:v>448</c:v>
                </c:pt>
                <c:pt idx="9">
                  <c:v>105</c:v>
                </c:pt>
                <c:pt idx="10">
                  <c:v>197</c:v>
                </c:pt>
                <c:pt idx="11">
                  <c:v>191</c:v>
                </c:pt>
                <c:pt idx="12">
                  <c:v>73</c:v>
                </c:pt>
                <c:pt idx="13">
                  <c:v>82</c:v>
                </c:pt>
                <c:pt idx="14">
                  <c:v>198</c:v>
                </c:pt>
                <c:pt idx="15">
                  <c:v>246</c:v>
                </c:pt>
                <c:pt idx="16">
                  <c:v>79</c:v>
                </c:pt>
                <c:pt idx="17">
                  <c:v>64</c:v>
                </c:pt>
                <c:pt idx="18">
                  <c:v>64</c:v>
                </c:pt>
                <c:pt idx="19">
                  <c:v>28</c:v>
                </c:pt>
                <c:pt idx="20">
                  <c:v>0</c:v>
                </c:pt>
                <c:pt idx="2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8-4B0B-9A22-1D40A03178E6}"/>
            </c:ext>
          </c:extLst>
        </c:ser>
        <c:ser>
          <c:idx val="1"/>
          <c:order val="1"/>
          <c:tx>
            <c:strRef>
              <c:f>'100-103j '!$AB$97</c:f>
              <c:strCache>
                <c:ptCount val="1"/>
                <c:pt idx="0">
                  <c:v>غيررسمي</c:v>
                </c:pt>
              </c:strCache>
            </c:strRef>
          </c:tx>
          <c:spPr>
            <a:pattFill prst="pct80">
              <a:fgClr>
                <a:srgbClr val="669900"/>
              </a:fgClr>
              <a:bgClr>
                <a:schemeClr val="bg1"/>
              </a:bgClr>
            </a:pattFill>
            <a:ln w="12700">
              <a:solidFill>
                <a:srgbClr val="00B050"/>
              </a:solidFill>
              <a:prstDash val="solid"/>
            </a:ln>
          </c:spPr>
          <c:invertIfNegative val="0"/>
          <c:cat>
            <c:strRef>
              <c:f>'[5]100-103j'!$Z$96:$Z$117</c:f>
              <c:strCache>
                <c:ptCount val="22"/>
                <c:pt idx="0">
                  <c:v>مركز</c:v>
                </c:pt>
                <c:pt idx="1">
                  <c:v>جنوب</c:v>
                </c:pt>
                <c:pt idx="2">
                  <c:v>لرستان</c:v>
                </c:pt>
                <c:pt idx="3">
                  <c:v>اراك</c:v>
                </c:pt>
                <c:pt idx="4">
                  <c:v>زاگرس</c:v>
                </c:pt>
                <c:pt idx="5">
                  <c:v>تهران</c:v>
                </c:pt>
                <c:pt idx="6">
                  <c:v>شمال</c:v>
                </c:pt>
                <c:pt idx="7">
                  <c:v>شمالشرق1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شمالشرق2</c:v>
                </c:pt>
                <c:pt idx="13">
                  <c:v>قم </c:v>
                </c:pt>
                <c:pt idx="14">
                  <c:v>یزد </c:v>
                </c:pt>
                <c:pt idx="15">
                  <c:v>هرمزگان </c:v>
                </c:pt>
                <c:pt idx="16">
                  <c:v>شرق</c:v>
                </c:pt>
                <c:pt idx="17">
                  <c:v>كرمان</c:v>
                </c:pt>
                <c:pt idx="18">
                  <c:v>فارس</c:v>
                </c:pt>
                <c:pt idx="19">
                  <c:v>جنوبشرق</c:v>
                </c:pt>
                <c:pt idx="20">
                  <c:v>غرب</c:v>
                </c:pt>
                <c:pt idx="21">
                  <c:v>شمال2</c:v>
                </c:pt>
              </c:strCache>
            </c:strRef>
          </c:cat>
          <c:val>
            <c:numRef>
              <c:f>'100-103j '!$AB$98:$AB$119</c:f>
              <c:numCache>
                <c:formatCode>General</c:formatCode>
                <c:ptCount val="22"/>
                <c:pt idx="0">
                  <c:v>1023</c:v>
                </c:pt>
                <c:pt idx="1">
                  <c:v>100</c:v>
                </c:pt>
                <c:pt idx="2">
                  <c:v>65</c:v>
                </c:pt>
                <c:pt idx="3">
                  <c:v>106</c:v>
                </c:pt>
                <c:pt idx="4">
                  <c:v>83</c:v>
                </c:pt>
                <c:pt idx="5">
                  <c:v>271</c:v>
                </c:pt>
                <c:pt idx="6">
                  <c:v>168</c:v>
                </c:pt>
                <c:pt idx="7">
                  <c:v>121</c:v>
                </c:pt>
                <c:pt idx="8">
                  <c:v>224</c:v>
                </c:pt>
                <c:pt idx="9">
                  <c:v>66</c:v>
                </c:pt>
                <c:pt idx="10">
                  <c:v>145</c:v>
                </c:pt>
                <c:pt idx="11">
                  <c:v>133</c:v>
                </c:pt>
                <c:pt idx="12">
                  <c:v>37</c:v>
                </c:pt>
                <c:pt idx="13">
                  <c:v>67</c:v>
                </c:pt>
                <c:pt idx="14">
                  <c:v>221</c:v>
                </c:pt>
                <c:pt idx="15">
                  <c:v>166</c:v>
                </c:pt>
                <c:pt idx="16">
                  <c:v>148</c:v>
                </c:pt>
                <c:pt idx="17">
                  <c:v>67</c:v>
                </c:pt>
                <c:pt idx="18">
                  <c:v>61</c:v>
                </c:pt>
                <c:pt idx="19">
                  <c:v>47</c:v>
                </c:pt>
                <c:pt idx="20">
                  <c:v>1</c:v>
                </c:pt>
                <c:pt idx="21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08-4B0B-9A22-1D40A0317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79494656"/>
        <c:axId val="-179488128"/>
      </c:barChart>
      <c:catAx>
        <c:axId val="-17949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9488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79488128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333399"/>
                    </a:solidFill>
                    <a:latin typeface="B Mitra"/>
                    <a:ea typeface="B Mitra"/>
                    <a:cs typeface="B Mitra"/>
                  </a:defRPr>
                </a:pPr>
                <a:r>
                  <a:rPr lang="fa-IR"/>
                  <a:t>نفر</a:t>
                </a:r>
              </a:p>
            </c:rich>
          </c:tx>
          <c:layout>
            <c:manualLayout>
              <c:xMode val="edge"/>
              <c:yMode val="edge"/>
              <c:x val="1.3838748495788207E-2"/>
              <c:y val="0.13873876998855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prs-AF"/>
          </a:p>
        </c:txPr>
        <c:crossAx val="-1794946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622947402332831"/>
          <c:y val="0.35001098430978067"/>
          <c:w val="0.13297706017794708"/>
          <c:h val="0.132068172095228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50" b="1" i="0" u="none" strike="noStrike" baseline="0">
              <a:solidFill>
                <a:srgbClr val="000000"/>
              </a:solidFill>
              <a:latin typeface="B Mitra"/>
              <a:ea typeface="B Mitra"/>
              <a:cs typeface="B Mitra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r">
              <a:defRPr sz="1100" b="1" i="0" u="none" strike="noStrike" baseline="0">
                <a:solidFill>
                  <a:srgbClr val="333399"/>
                </a:solidFill>
                <a:latin typeface="B Mitra"/>
                <a:ea typeface="B Mitra"/>
                <a:cs typeface="B Mitra"/>
              </a:defRPr>
            </a:pPr>
            <a:r>
              <a:rPr lang="fa-IR"/>
              <a:t>نمودار شماره  27- تعدادكاركنان برحسب مقاطع تحصيلي و نوع خدمت درسال </a:t>
            </a:r>
            <a:r>
              <a:rPr lang="en-US"/>
              <a:t>1403</a:t>
            </a:r>
            <a:endParaRPr lang="fa-IR"/>
          </a:p>
        </c:rich>
      </c:tx>
      <c:layout>
        <c:manualLayout>
          <c:xMode val="edge"/>
          <c:yMode val="edge"/>
          <c:x val="0.1301991048587281"/>
          <c:y val="2.82554992429955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15732368896925"/>
          <c:y val="0.12128158813110501"/>
          <c:w val="0.85473176612417123"/>
          <c:h val="0.741249203537753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'100-103j '!$AA$97</c:f>
              <c:strCache>
                <c:ptCount val="1"/>
                <c:pt idx="0">
                  <c:v>رسمي</c:v>
                </c:pt>
              </c:strCache>
            </c:strRef>
          </c:tx>
          <c:invertIfNegative val="0"/>
          <c:cat>
            <c:strRef>
              <c:f>'100-103j '!$W$145:$AB$145</c:f>
              <c:strCache>
                <c:ptCount val="6"/>
                <c:pt idx="0">
                  <c:v>كارشناسي ارشدو بالاتر</c:v>
                </c:pt>
                <c:pt idx="1">
                  <c:v>كارشناسي</c:v>
                </c:pt>
                <c:pt idx="2">
                  <c:v>كارداني</c:v>
                </c:pt>
                <c:pt idx="3">
                  <c:v>ديپلم</c:v>
                </c:pt>
                <c:pt idx="4">
                  <c:v>سوم راهنمايي</c:v>
                </c:pt>
                <c:pt idx="5">
                  <c:v>پایان ابتدایی و کمتر</c:v>
                </c:pt>
              </c:strCache>
            </c:strRef>
          </c:cat>
          <c:val>
            <c:numRef>
              <c:f>'100-103j '!$W$150:$AB$150</c:f>
              <c:numCache>
                <c:formatCode>General</c:formatCode>
                <c:ptCount val="6"/>
                <c:pt idx="0">
                  <c:v>412</c:v>
                </c:pt>
                <c:pt idx="1">
                  <c:v>1124</c:v>
                </c:pt>
                <c:pt idx="2">
                  <c:v>928</c:v>
                </c:pt>
                <c:pt idx="3">
                  <c:v>849</c:v>
                </c:pt>
                <c:pt idx="4">
                  <c:v>69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D0-4F49-9BCA-ACDAD3C9F98B}"/>
            </c:ext>
          </c:extLst>
        </c:ser>
        <c:ser>
          <c:idx val="1"/>
          <c:order val="1"/>
          <c:tx>
            <c:strRef>
              <c:f>'100-103j '!$AB$97</c:f>
              <c:strCache>
                <c:ptCount val="1"/>
                <c:pt idx="0">
                  <c:v>غيررسمي</c:v>
                </c:pt>
              </c:strCache>
            </c:strRef>
          </c:tx>
          <c:invertIfNegative val="0"/>
          <c:cat>
            <c:strRef>
              <c:f>'100-103j '!$W$145:$AB$145</c:f>
              <c:strCache>
                <c:ptCount val="6"/>
                <c:pt idx="0">
                  <c:v>كارشناسي ارشدو بالاتر</c:v>
                </c:pt>
                <c:pt idx="1">
                  <c:v>كارشناسي</c:v>
                </c:pt>
                <c:pt idx="2">
                  <c:v>كارداني</c:v>
                </c:pt>
                <c:pt idx="3">
                  <c:v>ديپلم</c:v>
                </c:pt>
                <c:pt idx="4">
                  <c:v>سوم راهنمايي</c:v>
                </c:pt>
                <c:pt idx="5">
                  <c:v>پایان ابتدایی و کمتر</c:v>
                </c:pt>
              </c:strCache>
            </c:strRef>
          </c:cat>
          <c:val>
            <c:numRef>
              <c:f>'100-103j '!$W$151:$AB$151</c:f>
              <c:numCache>
                <c:formatCode>General</c:formatCode>
                <c:ptCount val="6"/>
                <c:pt idx="0">
                  <c:v>771</c:v>
                </c:pt>
                <c:pt idx="1">
                  <c:v>1238</c:v>
                </c:pt>
                <c:pt idx="2">
                  <c:v>712</c:v>
                </c:pt>
                <c:pt idx="3">
                  <c:v>611</c:v>
                </c:pt>
                <c:pt idx="4">
                  <c:v>24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D0-4F49-9BCA-ACDAD3C9F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79497920"/>
        <c:axId val="-179490848"/>
      </c:barChart>
      <c:catAx>
        <c:axId val="-17949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79490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79490848"/>
        <c:scaling>
          <c:orientation val="minMax"/>
          <c:max val="2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333399"/>
                    </a:solidFill>
                    <a:latin typeface="B Roya"/>
                    <a:ea typeface="B Roya"/>
                    <a:cs typeface="B Roya"/>
                  </a:defRPr>
                </a:pPr>
                <a:r>
                  <a:rPr lang="fa-IR"/>
                  <a:t>نفر</a:t>
                </a:r>
              </a:p>
            </c:rich>
          </c:tx>
          <c:layout>
            <c:manualLayout>
              <c:xMode val="edge"/>
              <c:yMode val="edge"/>
              <c:x val="1.0699168932997299E-2"/>
              <c:y val="0.136087543622748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prs-AF"/>
          </a:p>
        </c:txPr>
        <c:crossAx val="-1794979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228450874020492"/>
          <c:y val="0.3204917314066254"/>
          <c:w val="0.13743655460788917"/>
          <c:h val="0.125304993891353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50" b="1" i="0" u="none" strike="noStrike" baseline="0">
              <a:solidFill>
                <a:srgbClr val="000000"/>
              </a:solidFill>
              <a:latin typeface="B Mitra"/>
              <a:ea typeface="B Mitra"/>
              <a:cs typeface="B Mitra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000000000000022" r="0.75000000000000022" t="1" header="0.5" footer="0.5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1">
              <a:defRPr sz="1175" b="0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r>
              <a:rPr lang="en-US" sz="1100" b="1" i="0" u="none" strike="noStrike" baseline="0">
                <a:solidFill>
                  <a:srgbClr val="333399"/>
                </a:solidFill>
                <a:cs typeface="B Nazanin"/>
              </a:rPr>
              <a:t>نمودار</a:t>
            </a:r>
            <a:r>
              <a:rPr lang="en-US" sz="11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100" b="1" i="0" u="none" strike="noStrike" baseline="0">
                <a:solidFill>
                  <a:srgbClr val="333399"/>
                </a:solidFill>
                <a:cs typeface="B Nazanin"/>
              </a:rPr>
              <a:t>شماره</a:t>
            </a:r>
            <a:r>
              <a:rPr lang="en-US" sz="11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fa-IR" sz="1100" b="1" i="0" u="none" strike="noStrike" baseline="0">
                <a:solidFill>
                  <a:srgbClr val="333399"/>
                </a:solidFill>
                <a:cs typeface="B Roya"/>
              </a:rPr>
              <a:t>28-</a:t>
            </a:r>
            <a:r>
              <a:rPr lang="en-US" sz="11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100" b="1" i="0" u="none" strike="noStrike" baseline="0">
                <a:solidFill>
                  <a:srgbClr val="333399"/>
                </a:solidFill>
                <a:cs typeface="B Nazanin"/>
              </a:rPr>
              <a:t>تعداد</a:t>
            </a:r>
            <a:r>
              <a:rPr lang="fa-IR" sz="1100" b="1" i="0" u="none" strike="noStrike" baseline="0">
                <a:solidFill>
                  <a:srgbClr val="333399"/>
                </a:solidFill>
                <a:cs typeface="B Nazanin"/>
              </a:rPr>
              <a:t> فراگیران </a:t>
            </a:r>
            <a:r>
              <a:rPr lang="en-US" sz="1100" b="1" i="0" u="none" strike="noStrike" baseline="0">
                <a:solidFill>
                  <a:srgbClr val="333399"/>
                </a:solidFill>
                <a:cs typeface="B Nazanin"/>
              </a:rPr>
              <a:t>مركز</a:t>
            </a:r>
            <a:r>
              <a:rPr lang="en-US" sz="11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100" b="1" i="0" u="none" strike="noStrike" baseline="0">
                <a:solidFill>
                  <a:srgbClr val="333399"/>
                </a:solidFill>
                <a:cs typeface="B Nazanin"/>
              </a:rPr>
              <a:t>آموزش</a:t>
            </a:r>
            <a:r>
              <a:rPr lang="en-US" sz="11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100" b="1" i="0" u="none" strike="noStrike" baseline="0">
                <a:solidFill>
                  <a:srgbClr val="333399"/>
                </a:solidFill>
                <a:cs typeface="B Nazanin"/>
              </a:rPr>
              <a:t>در</a:t>
            </a:r>
            <a:r>
              <a:rPr lang="en-US" sz="11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100" b="1" i="0" u="none" strike="noStrike" baseline="0">
                <a:solidFill>
                  <a:srgbClr val="333399"/>
                </a:solidFill>
                <a:cs typeface="B Nazanin"/>
              </a:rPr>
              <a:t>سالهاي</a:t>
            </a:r>
            <a:r>
              <a:rPr lang="en-US" sz="1100" b="1" i="0" u="none" strike="noStrike" baseline="0">
                <a:solidFill>
                  <a:srgbClr val="333399"/>
                </a:solidFill>
                <a:cs typeface="B Roya"/>
              </a:rPr>
              <a:t>  1394-1403</a:t>
            </a:r>
          </a:p>
          <a:p>
            <a:pPr rtl="1">
              <a:defRPr sz="1175" b="0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en-US" sz="1100" b="1" i="0" u="none" strike="noStrike" baseline="0">
              <a:solidFill>
                <a:srgbClr val="333399"/>
              </a:solidFill>
              <a:cs typeface="B Roya"/>
            </a:endParaRPr>
          </a:p>
        </c:rich>
      </c:tx>
      <c:layout>
        <c:manualLayout>
          <c:xMode val="edge"/>
          <c:yMode val="edge"/>
          <c:x val="0.17009349869604959"/>
          <c:y val="2.67182753841163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71358584701731"/>
          <c:y val="0.11235955056179775"/>
          <c:w val="0.86431390388072271"/>
          <c:h val="0.72191011235955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'107j'!$B$20:$K$20</c:f>
              <c:strCache>
                <c:ptCount val="10"/>
                <c:pt idx="0">
                  <c:v>1394</c:v>
                </c:pt>
                <c:pt idx="1">
                  <c:v>1395</c:v>
                </c:pt>
                <c:pt idx="2">
                  <c:v>1396</c:v>
                </c:pt>
                <c:pt idx="3">
                  <c:v>1397</c:v>
                </c:pt>
                <c:pt idx="4">
                  <c:v>1398</c:v>
                </c:pt>
                <c:pt idx="5">
                  <c:v>1399</c:v>
                </c:pt>
                <c:pt idx="6">
                  <c:v>1400</c:v>
                </c:pt>
                <c:pt idx="7">
                  <c:v>1401</c:v>
                </c:pt>
                <c:pt idx="8">
                  <c:v>1402</c:v>
                </c:pt>
                <c:pt idx="9">
                  <c:v>1403</c:v>
                </c:pt>
              </c:strCache>
            </c:strRef>
          </c:tx>
          <c:spPr>
            <a:pattFill prst="trellis">
              <a:fgClr>
                <a:srgbClr val="FF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'107j'!$B$20:$K$20</c:f>
              <c:numCache>
                <c:formatCode>General</c:formatCode>
                <c:ptCount val="10"/>
                <c:pt idx="0">
                  <c:v>1394</c:v>
                </c:pt>
                <c:pt idx="1">
                  <c:v>1395</c:v>
                </c:pt>
                <c:pt idx="2">
                  <c:v>1396</c:v>
                </c:pt>
                <c:pt idx="3">
                  <c:v>1397</c:v>
                </c:pt>
                <c:pt idx="4">
                  <c:v>1398</c:v>
                </c:pt>
                <c:pt idx="5">
                  <c:v>1399</c:v>
                </c:pt>
                <c:pt idx="6">
                  <c:v>1400</c:v>
                </c:pt>
                <c:pt idx="7">
                  <c:v>1401</c:v>
                </c:pt>
                <c:pt idx="8">
                  <c:v>1402</c:v>
                </c:pt>
                <c:pt idx="9">
                  <c:v>1403</c:v>
                </c:pt>
              </c:numCache>
            </c:numRef>
          </c:cat>
          <c:val>
            <c:numRef>
              <c:f>'107j'!$B$21:$K$21</c:f>
              <c:numCache>
                <c:formatCode>General</c:formatCode>
                <c:ptCount val="10"/>
                <c:pt idx="0">
                  <c:v>37760</c:v>
                </c:pt>
                <c:pt idx="1">
                  <c:v>38054</c:v>
                </c:pt>
                <c:pt idx="2">
                  <c:v>32638</c:v>
                </c:pt>
                <c:pt idx="3">
                  <c:v>34355</c:v>
                </c:pt>
                <c:pt idx="4">
                  <c:v>48607</c:v>
                </c:pt>
                <c:pt idx="5">
                  <c:v>95472</c:v>
                </c:pt>
                <c:pt idx="6">
                  <c:v>50690</c:v>
                </c:pt>
                <c:pt idx="7">
                  <c:v>51156</c:v>
                </c:pt>
                <c:pt idx="8">
                  <c:v>61302</c:v>
                </c:pt>
                <c:pt idx="9">
                  <c:v>70499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E1-437A-A008-08DE14395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75755424"/>
        <c:axId val="75755984"/>
      </c:barChart>
      <c:catAx>
        <c:axId val="7575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75755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755984"/>
        <c:scaling>
          <c:orientation val="minMax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prs-AF"/>
          </a:p>
        </c:txPr>
        <c:crossAx val="7575542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3.853450523840958E-3"/>
                <c:y val="0.10948509245333098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975" b="1" i="0" u="none" strike="noStrike" baseline="0">
                      <a:solidFill>
                        <a:srgbClr val="333399"/>
                      </a:solidFill>
                      <a:latin typeface="B Mitra"/>
                      <a:ea typeface="B Mitra"/>
                      <a:cs typeface="B Mitra"/>
                    </a:defRPr>
                  </a:pPr>
                  <a:r>
                    <a:rPr lang="fa-IR"/>
                    <a:t>هزارنفر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000000000000089" r="0.75000000000000089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200" b="1" i="0" u="none" strike="noStrike" baseline="0">
                <a:solidFill>
                  <a:srgbClr val="333399"/>
                </a:solidFill>
                <a:cs typeface="B Nazanin" panose="00000400000000000000" pitchFamily="2" charset="-78"/>
              </a:rPr>
              <a:t>نمودار شماره 29 - درآمد حمل بار ترانزيت درسالهای1403-1402 </a:t>
            </a:r>
          </a:p>
        </c:rich>
      </c:tx>
      <c:layout>
        <c:manualLayout>
          <c:xMode val="edge"/>
          <c:yMode val="edge"/>
          <c:x val="0.26633347680414549"/>
          <c:y val="2.32412699681575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46192259675407"/>
          <c:y val="0.12739965095986039"/>
          <c:w val="0.84519350811485638"/>
          <c:h val="0.67277486910994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'86'!$B$24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'86'!$A$25:$A$32</c:f>
              <c:strCache>
                <c:ptCount val="8"/>
                <c:pt idx="0">
                  <c:v>شمال 2</c:v>
                </c:pt>
                <c:pt idx="1">
                  <c:v>شمالشرق2</c:v>
                </c:pt>
                <c:pt idx="2">
                  <c:v>جنوبشرق</c:v>
                </c:pt>
                <c:pt idx="3">
                  <c:v>خراسان</c:v>
                </c:pt>
                <c:pt idx="4">
                  <c:v>آذربايجان</c:v>
                </c:pt>
                <c:pt idx="5">
                  <c:v>شرق</c:v>
                </c:pt>
                <c:pt idx="6">
                  <c:v>شمال</c:v>
                </c:pt>
                <c:pt idx="7">
                  <c:v>هرمزگان</c:v>
                </c:pt>
              </c:strCache>
            </c:strRef>
          </c:cat>
          <c:val>
            <c:numRef>
              <c:f>'86'!$B$25:$B$32</c:f>
              <c:numCache>
                <c:formatCode>#,##0,,</c:formatCode>
                <c:ptCount val="8"/>
                <c:pt idx="0" formatCode="#,##0">
                  <c:v>0</c:v>
                </c:pt>
                <c:pt idx="1">
                  <c:v>64763043294</c:v>
                </c:pt>
                <c:pt idx="2">
                  <c:v>4253813564</c:v>
                </c:pt>
                <c:pt idx="3">
                  <c:v>8381746988101</c:v>
                </c:pt>
                <c:pt idx="4">
                  <c:v>1004254865329</c:v>
                </c:pt>
                <c:pt idx="5">
                  <c:v>0</c:v>
                </c:pt>
                <c:pt idx="6">
                  <c:v>101052402</c:v>
                </c:pt>
                <c:pt idx="7">
                  <c:v>1130291989109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5-4F49-99B6-DA308B816CB4}"/>
            </c:ext>
          </c:extLst>
        </c:ser>
        <c:ser>
          <c:idx val="1"/>
          <c:order val="1"/>
          <c:tx>
            <c:strRef>
              <c:f>'86'!$C$24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80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'86'!$A$25:$A$32</c:f>
              <c:strCache>
                <c:ptCount val="8"/>
                <c:pt idx="0">
                  <c:v>شمال 2</c:v>
                </c:pt>
                <c:pt idx="1">
                  <c:v>شمالشرق2</c:v>
                </c:pt>
                <c:pt idx="2">
                  <c:v>جنوبشرق</c:v>
                </c:pt>
                <c:pt idx="3">
                  <c:v>خراسان</c:v>
                </c:pt>
                <c:pt idx="4">
                  <c:v>آذربايجان</c:v>
                </c:pt>
                <c:pt idx="5">
                  <c:v>شرق</c:v>
                </c:pt>
                <c:pt idx="6">
                  <c:v>شمال</c:v>
                </c:pt>
                <c:pt idx="7">
                  <c:v>هرمزگان</c:v>
                </c:pt>
              </c:strCache>
            </c:strRef>
          </c:cat>
          <c:val>
            <c:numRef>
              <c:f>'86'!$C$25:$C$32</c:f>
              <c:numCache>
                <c:formatCode>#,##0,,</c:formatCode>
                <c:ptCount val="8"/>
                <c:pt idx="0">
                  <c:v>205042562000</c:v>
                </c:pt>
                <c:pt idx="1">
                  <c:v>285600000000</c:v>
                </c:pt>
                <c:pt idx="2">
                  <c:v>14102002000</c:v>
                </c:pt>
                <c:pt idx="3">
                  <c:v>25488999356000</c:v>
                </c:pt>
                <c:pt idx="4">
                  <c:v>1219620036000</c:v>
                </c:pt>
                <c:pt idx="5">
                  <c:v>19526269000</c:v>
                </c:pt>
                <c:pt idx="6">
                  <c:v>48009345000</c:v>
                </c:pt>
                <c:pt idx="7">
                  <c:v>1104531627000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5-4F49-99B6-DA308B816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1470340672"/>
        <c:axId val="-1470351008"/>
      </c:barChart>
      <c:catAx>
        <c:axId val="-147034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470351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470351008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prs-AF"/>
          </a:p>
        </c:txPr>
        <c:crossAx val="-1470340672"/>
        <c:crosses val="autoZero"/>
        <c:crossBetween val="between"/>
        <c:dispUnits>
          <c:builtInUnit val="trillions"/>
          <c:dispUnitsLbl>
            <c:layout>
              <c:manualLayout>
                <c:xMode val="edge"/>
                <c:yMode val="edge"/>
                <c:x val="2.8655847279540222E-2"/>
                <c:y val="0.24978083323340922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850" b="1" i="0" u="none" strike="noStrike" baseline="0">
                      <a:solidFill>
                        <a:srgbClr val="333399"/>
                      </a:solidFill>
                      <a:latin typeface="B Roya"/>
                      <a:ea typeface="B Roya"/>
                      <a:cs typeface="B Nazanin" panose="00000400000000000000" pitchFamily="2" charset="-78"/>
                    </a:defRPr>
                  </a:pPr>
                  <a:r>
                    <a:rPr lang="fa-IR">
                      <a:cs typeface="B Nazanin" panose="00000400000000000000" pitchFamily="2" charset="-78"/>
                    </a:rPr>
                    <a:t>هزار میلیارد ریال</a:t>
                  </a:r>
                  <a:endParaRPr lang="en-US">
                    <a:cs typeface="B Nazanin" panose="00000400000000000000" pitchFamily="2" charset="-78"/>
                  </a:endParaRP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254905435855887"/>
          <c:y val="0.19727993391688983"/>
          <c:w val="0.11423633843522368"/>
          <c:h val="0.1669901541495130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B Roya"/>
              <a:ea typeface="B Roya"/>
              <a:cs typeface="B Roya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100" b="1" i="0" u="none" strike="noStrike" baseline="0">
                <a:solidFill>
                  <a:srgbClr val="000099"/>
                </a:solidFill>
                <a:cs typeface="B Nazanin" panose="00000400000000000000" pitchFamily="2" charset="-78"/>
              </a:rPr>
              <a:t>        نمودارشماره 30 - درآمد كل  ایجاد شده حمل بار درسالهاي 1402-1401</a:t>
            </a:r>
          </a:p>
        </c:rich>
      </c:tx>
      <c:layout>
        <c:manualLayout>
          <c:xMode val="edge"/>
          <c:yMode val="edge"/>
          <c:x val="0.23782810856508105"/>
          <c:y val="1.43604122655399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60711577719451"/>
          <c:y val="0.11206683310927595"/>
          <c:w val="0.82929670457859439"/>
          <c:h val="0.732828372063248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'113'!$B$21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'113'!$A$22:$A$42</c:f>
              <c:strCache>
                <c:ptCount val="21"/>
                <c:pt idx="0">
                  <c:v>غرب</c:v>
                </c:pt>
                <c:pt idx="1">
                  <c:v>جنوبشرق</c:v>
                </c:pt>
                <c:pt idx="2">
                  <c:v>شرق</c:v>
                </c:pt>
                <c:pt idx="3">
                  <c:v>كرمان</c:v>
                </c:pt>
                <c:pt idx="4">
                  <c:v>شمال2</c:v>
                </c:pt>
                <c:pt idx="5">
                  <c:v>شمال</c:v>
                </c:pt>
                <c:pt idx="6">
                  <c:v>اصفهان</c:v>
                </c:pt>
                <c:pt idx="7">
                  <c:v>قم</c:v>
                </c:pt>
                <c:pt idx="8">
                  <c:v>هرمزگان</c:v>
                </c:pt>
                <c:pt idx="9">
                  <c:v>یزد</c:v>
                </c:pt>
                <c:pt idx="10">
                  <c:v>اراك</c:v>
                </c:pt>
                <c:pt idx="11">
                  <c:v>آذربايجان</c:v>
                </c:pt>
                <c:pt idx="12">
                  <c:v>زاگرس</c:v>
                </c:pt>
                <c:pt idx="13">
                  <c:v>لرستان</c:v>
                </c:pt>
                <c:pt idx="14">
                  <c:v>شمالشرق 1</c:v>
                </c:pt>
                <c:pt idx="15">
                  <c:v>جنوب</c:v>
                </c:pt>
                <c:pt idx="16">
                  <c:v>تهران</c:v>
                </c:pt>
                <c:pt idx="17">
                  <c:v>فارس</c:v>
                </c:pt>
                <c:pt idx="18">
                  <c:v>شمالغرب</c:v>
                </c:pt>
                <c:pt idx="19">
                  <c:v>شمالشرق 2</c:v>
                </c:pt>
                <c:pt idx="20">
                  <c:v>خراسان</c:v>
                </c:pt>
              </c:strCache>
            </c:strRef>
          </c:cat>
          <c:val>
            <c:numRef>
              <c:f>'113'!$B$22:$B$42</c:f>
              <c:numCache>
                <c:formatCode>#,##0</c:formatCode>
                <c:ptCount val="21"/>
                <c:pt idx="0">
                  <c:v>0</c:v>
                </c:pt>
                <c:pt idx="1">
                  <c:v>1264504.8681000001</c:v>
                </c:pt>
                <c:pt idx="2">
                  <c:v>17421418.327266999</c:v>
                </c:pt>
                <c:pt idx="3">
                  <c:v>2404849.4149219999</c:v>
                </c:pt>
                <c:pt idx="4">
                  <c:v>878833.08779899997</c:v>
                </c:pt>
                <c:pt idx="5">
                  <c:v>810766.57361800002</c:v>
                </c:pt>
                <c:pt idx="6">
                  <c:v>16366391.106644999</c:v>
                </c:pt>
                <c:pt idx="7">
                  <c:v>515762.57850200002</c:v>
                </c:pt>
                <c:pt idx="8">
                  <c:v>17633630.872515999</c:v>
                </c:pt>
                <c:pt idx="9">
                  <c:v>15875500.370044</c:v>
                </c:pt>
                <c:pt idx="10">
                  <c:v>2175588.400167</c:v>
                </c:pt>
                <c:pt idx="11">
                  <c:v>3709907.6534099998</c:v>
                </c:pt>
                <c:pt idx="12">
                  <c:v>197053.69775699999</c:v>
                </c:pt>
                <c:pt idx="13">
                  <c:v>296594.08857700002</c:v>
                </c:pt>
                <c:pt idx="14">
                  <c:v>924165.80237100006</c:v>
                </c:pt>
                <c:pt idx="15">
                  <c:v>9156448.7511470001</c:v>
                </c:pt>
                <c:pt idx="16">
                  <c:v>3177011.7496529999</c:v>
                </c:pt>
                <c:pt idx="17">
                  <c:v>322522.04628900002</c:v>
                </c:pt>
                <c:pt idx="18">
                  <c:v>528740.93857999996</c:v>
                </c:pt>
                <c:pt idx="19">
                  <c:v>1117649.0274809999</c:v>
                </c:pt>
                <c:pt idx="20">
                  <c:v>13234940.991513001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B8-4B89-AB2A-E0D425971DF2}"/>
            </c:ext>
          </c:extLst>
        </c:ser>
        <c:ser>
          <c:idx val="1"/>
          <c:order val="1"/>
          <c:tx>
            <c:strRef>
              <c:f>'113'!$C$21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80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'113'!$A$22:$A$42</c:f>
              <c:strCache>
                <c:ptCount val="21"/>
                <c:pt idx="0">
                  <c:v>غرب</c:v>
                </c:pt>
                <c:pt idx="1">
                  <c:v>جنوبشرق</c:v>
                </c:pt>
                <c:pt idx="2">
                  <c:v>شرق</c:v>
                </c:pt>
                <c:pt idx="3">
                  <c:v>كرمان</c:v>
                </c:pt>
                <c:pt idx="4">
                  <c:v>شمال2</c:v>
                </c:pt>
                <c:pt idx="5">
                  <c:v>شمال</c:v>
                </c:pt>
                <c:pt idx="6">
                  <c:v>اصفهان</c:v>
                </c:pt>
                <c:pt idx="7">
                  <c:v>قم</c:v>
                </c:pt>
                <c:pt idx="8">
                  <c:v>هرمزگان</c:v>
                </c:pt>
                <c:pt idx="9">
                  <c:v>یزد</c:v>
                </c:pt>
                <c:pt idx="10">
                  <c:v>اراك</c:v>
                </c:pt>
                <c:pt idx="11">
                  <c:v>آذربايجان</c:v>
                </c:pt>
                <c:pt idx="12">
                  <c:v>زاگرس</c:v>
                </c:pt>
                <c:pt idx="13">
                  <c:v>لرستان</c:v>
                </c:pt>
                <c:pt idx="14">
                  <c:v>شمالشرق 1</c:v>
                </c:pt>
                <c:pt idx="15">
                  <c:v>جنوب</c:v>
                </c:pt>
                <c:pt idx="16">
                  <c:v>تهران</c:v>
                </c:pt>
                <c:pt idx="17">
                  <c:v>فارس</c:v>
                </c:pt>
                <c:pt idx="18">
                  <c:v>شمالغرب</c:v>
                </c:pt>
                <c:pt idx="19">
                  <c:v>شمالشرق 2</c:v>
                </c:pt>
                <c:pt idx="20">
                  <c:v>خراسان</c:v>
                </c:pt>
              </c:strCache>
            </c:strRef>
          </c:cat>
          <c:val>
            <c:numRef>
              <c:f>'113'!$C$22:$C$42</c:f>
              <c:numCache>
                <c:formatCode>#,##0</c:formatCode>
                <c:ptCount val="2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B8-4B89-AB2A-E0D425971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284487584"/>
        <c:axId val="284488144"/>
      </c:barChart>
      <c:catAx>
        <c:axId val="28448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284488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488144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B Zar"/>
                <a:ea typeface="B Zar"/>
                <a:cs typeface="B Zar"/>
              </a:defRPr>
            </a:pPr>
            <a:endParaRPr lang="prs-AF"/>
          </a:p>
        </c:txPr>
        <c:crossAx val="28448758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6.4002333041703113E-3"/>
                <c:y val="0.39809589654951666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800" b="1" i="0" u="none" strike="noStrike" baseline="0">
                      <a:solidFill>
                        <a:srgbClr val="000099"/>
                      </a:solidFill>
                      <a:latin typeface="B Roya"/>
                      <a:ea typeface="B Roya"/>
                      <a:cs typeface="B Roya"/>
                    </a:defRPr>
                  </a:pPr>
                  <a:r>
                    <a:rPr lang="fa-IR">
                      <a:solidFill>
                        <a:srgbClr val="000099"/>
                      </a:solidFill>
                    </a:rPr>
                    <a:t>ميليارد ريال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674289574850978"/>
          <c:y val="0.16030010882785994"/>
          <c:w val="0.12921702202954966"/>
          <c:h val="0.153405287753664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B Zar"/>
              <a:ea typeface="B Zar"/>
              <a:cs typeface="B Zar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99"/>
                </a:solidFill>
                <a:latin typeface="B Roya"/>
                <a:ea typeface="B Roya"/>
                <a:cs typeface="B Nazanin" panose="00000400000000000000" pitchFamily="2" charset="-78"/>
              </a:defRPr>
            </a:pPr>
            <a:r>
              <a:rPr lang="fa-IR" sz="1000">
                <a:solidFill>
                  <a:srgbClr val="000099"/>
                </a:solidFill>
                <a:cs typeface="B Nazanin" panose="00000400000000000000" pitchFamily="2" charset="-78"/>
              </a:rPr>
              <a:t>نمودار شماره 34 - ميزان اعتبار و پرداختهای</a:t>
            </a:r>
            <a:r>
              <a:rPr lang="fa-IR" sz="1000" baseline="0">
                <a:solidFill>
                  <a:srgbClr val="000099"/>
                </a:solidFill>
                <a:cs typeface="B Nazanin" panose="00000400000000000000" pitchFamily="2" charset="-78"/>
              </a:rPr>
              <a:t> </a:t>
            </a:r>
            <a:r>
              <a:rPr lang="fa-IR" sz="1000">
                <a:solidFill>
                  <a:srgbClr val="000099"/>
                </a:solidFill>
                <a:cs typeface="B Nazanin" panose="00000400000000000000" pitchFamily="2" charset="-78"/>
              </a:rPr>
              <a:t>طرحهاي تملک داراییهای سرمایه ایی در ده سال اخير</a:t>
            </a:r>
          </a:p>
        </c:rich>
      </c:tx>
      <c:layout>
        <c:manualLayout>
          <c:xMode val="edge"/>
          <c:yMode val="edge"/>
          <c:x val="0.11192555476020043"/>
          <c:y val="1.8302801435534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19961227443534E-2"/>
          <c:y val="0.12610786554906442"/>
          <c:w val="0.87482837832454752"/>
          <c:h val="0.699263962972370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'96'!$D$22</c:f>
              <c:strCache>
                <c:ptCount val="1"/>
                <c:pt idx="0">
                  <c:v>اعتبار ابلاغی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'96'!$B$23:$C$33</c:f>
              <c:strCache>
                <c:ptCount val="11"/>
                <c:pt idx="0">
                  <c:v>1393</c:v>
                </c:pt>
                <c:pt idx="1">
                  <c:v>1394</c:v>
                </c:pt>
                <c:pt idx="2">
                  <c:v>1395</c:v>
                </c:pt>
                <c:pt idx="3">
                  <c:v>1396</c:v>
                </c:pt>
                <c:pt idx="4">
                  <c:v>1397</c:v>
                </c:pt>
                <c:pt idx="5">
                  <c:v>1398</c:v>
                </c:pt>
                <c:pt idx="6">
                  <c:v>1399</c:v>
                </c:pt>
                <c:pt idx="7">
                  <c:v>1400</c:v>
                </c:pt>
                <c:pt idx="8">
                  <c:v>1401</c:v>
                </c:pt>
                <c:pt idx="9">
                  <c:v>1402</c:v>
                </c:pt>
                <c:pt idx="10">
                  <c:v>1403</c:v>
                </c:pt>
              </c:strCache>
            </c:strRef>
          </c:cat>
          <c:val>
            <c:numRef>
              <c:f>'96'!$D$23:$D$33</c:f>
              <c:numCache>
                <c:formatCode>#,##0</c:formatCode>
                <c:ptCount val="11"/>
                <c:pt idx="0">
                  <c:v>5537233</c:v>
                </c:pt>
                <c:pt idx="1">
                  <c:v>7679000</c:v>
                </c:pt>
                <c:pt idx="2">
                  <c:v>7408390</c:v>
                </c:pt>
                <c:pt idx="3">
                  <c:v>22932445</c:v>
                </c:pt>
                <c:pt idx="4">
                  <c:v>16879474</c:v>
                </c:pt>
                <c:pt idx="5">
                  <c:v>9881895</c:v>
                </c:pt>
                <c:pt idx="6">
                  <c:v>12243825</c:v>
                </c:pt>
                <c:pt idx="7">
                  <c:v>19075000</c:v>
                </c:pt>
                <c:pt idx="8">
                  <c:v>29199034</c:v>
                </c:pt>
                <c:pt idx="9">
                  <c:v>41490300</c:v>
                </c:pt>
                <c:pt idx="10">
                  <c:v>48864774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5B-434D-9D1C-6FBED10371FA}"/>
            </c:ext>
          </c:extLst>
        </c:ser>
        <c:ser>
          <c:idx val="1"/>
          <c:order val="1"/>
          <c:tx>
            <c:v>عملکرد</c:v>
          </c:tx>
          <c:spPr>
            <a:pattFill prst="pct80">
              <a:fgClr>
                <a:srgbClr val="00B05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'96'!$B$23:$C$33</c:f>
              <c:strCache>
                <c:ptCount val="11"/>
                <c:pt idx="0">
                  <c:v>1393</c:v>
                </c:pt>
                <c:pt idx="1">
                  <c:v>1394</c:v>
                </c:pt>
                <c:pt idx="2">
                  <c:v>1395</c:v>
                </c:pt>
                <c:pt idx="3">
                  <c:v>1396</c:v>
                </c:pt>
                <c:pt idx="4">
                  <c:v>1397</c:v>
                </c:pt>
                <c:pt idx="5">
                  <c:v>1398</c:v>
                </c:pt>
                <c:pt idx="6">
                  <c:v>1399</c:v>
                </c:pt>
                <c:pt idx="7">
                  <c:v>1400</c:v>
                </c:pt>
                <c:pt idx="8">
                  <c:v>1401</c:v>
                </c:pt>
                <c:pt idx="9">
                  <c:v>1402</c:v>
                </c:pt>
                <c:pt idx="10">
                  <c:v>1403</c:v>
                </c:pt>
              </c:strCache>
            </c:strRef>
          </c:cat>
          <c:val>
            <c:numRef>
              <c:f>'96'!$F$23:$F$33</c:f>
              <c:numCache>
                <c:formatCode>#,##0</c:formatCode>
                <c:ptCount val="11"/>
                <c:pt idx="0">
                  <c:v>11876040</c:v>
                </c:pt>
                <c:pt idx="1">
                  <c:v>19350462</c:v>
                </c:pt>
                <c:pt idx="2">
                  <c:v>21628239</c:v>
                </c:pt>
                <c:pt idx="3">
                  <c:v>28828004</c:v>
                </c:pt>
                <c:pt idx="4">
                  <c:v>18127210</c:v>
                </c:pt>
                <c:pt idx="5">
                  <c:v>15395885</c:v>
                </c:pt>
                <c:pt idx="6">
                  <c:v>18024170</c:v>
                </c:pt>
                <c:pt idx="7">
                  <c:v>33529598</c:v>
                </c:pt>
                <c:pt idx="8">
                  <c:v>31634715</c:v>
                </c:pt>
                <c:pt idx="9">
                  <c:v>85170121</c:v>
                </c:pt>
                <c:pt idx="10">
                  <c:v>126449570.09099099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5B-434D-9D1C-6FBED103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50"/>
        <c:axId val="-2099442896"/>
        <c:axId val="-2099445072"/>
      </c:barChart>
      <c:catAx>
        <c:axId val="-209944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>
                <a:alpha val="98000"/>
              </a:srgbClr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prs-AF"/>
          </a:p>
        </c:txPr>
        <c:crossAx val="-2099445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99445072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prs-AF"/>
          </a:p>
        </c:txPr>
        <c:crossAx val="-209944289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6.2871124160327413E-3"/>
                <c:y val="0.26361668501114782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875" b="1" i="0" u="none" strike="noStrike" baseline="0">
                      <a:solidFill>
                        <a:srgbClr val="000099"/>
                      </a:solidFill>
                      <a:latin typeface="B Roya"/>
                      <a:ea typeface="B Roya"/>
                      <a:cs typeface="B Roya"/>
                    </a:defRPr>
                  </a:pPr>
                  <a:r>
                    <a:rPr lang="fa-IR">
                      <a:solidFill>
                        <a:srgbClr val="000099"/>
                      </a:solidFill>
                    </a:rPr>
                    <a:t>هزار ميليارد ريال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145202188709461"/>
          <c:y val="0.18106793102475094"/>
          <c:w val="0.15270543105188772"/>
          <c:h val="0.136401659469985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B Roya"/>
              <a:ea typeface="B Roya"/>
              <a:cs typeface="B Roya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r" rtl="1">
              <a:defRPr sz="1175" b="0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نمودار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شماره</a:t>
            </a:r>
            <a:r>
              <a:rPr lang="fa-IR" sz="1200" b="1" i="0" u="none" strike="noStrike" baseline="0">
                <a:solidFill>
                  <a:srgbClr val="333399"/>
                </a:solidFill>
                <a:cs typeface="B Nazanin"/>
              </a:rPr>
              <a:t>35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 -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انواع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تعميرات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انجام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شده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واگن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های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مسافري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در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Nazanin"/>
              </a:rPr>
              <a:t>سالها</a:t>
            </a:r>
            <a:r>
              <a:rPr lang="fa-IR" sz="1200" b="1" i="0" u="none" strike="noStrike" baseline="0">
                <a:solidFill>
                  <a:srgbClr val="333399"/>
                </a:solidFill>
                <a:cs typeface="B Nazanin"/>
              </a:rPr>
              <a:t>ی1402-</a:t>
            </a:r>
            <a:r>
              <a:rPr lang="en-US" sz="1200" b="1" i="0" u="none" strike="noStrike" baseline="0">
                <a:solidFill>
                  <a:srgbClr val="333399"/>
                </a:solidFill>
                <a:cs typeface="B Roya"/>
              </a:rPr>
              <a:t> </a:t>
            </a:r>
            <a:r>
              <a:rPr lang="fa-IR" sz="1200" b="1" i="0" u="none" strike="noStrike" baseline="0">
                <a:solidFill>
                  <a:srgbClr val="333399"/>
                </a:solidFill>
                <a:cs typeface="B Nazanin"/>
              </a:rPr>
              <a:t>1401</a:t>
            </a:r>
            <a:endParaRPr lang="en-US" sz="1200" b="1" i="0" u="none" strike="noStrike" baseline="0">
              <a:solidFill>
                <a:srgbClr val="333399"/>
              </a:solidFill>
              <a:cs typeface="B Roya"/>
            </a:endParaRPr>
          </a:p>
        </c:rich>
      </c:tx>
      <c:layout>
        <c:manualLayout>
          <c:xMode val="edge"/>
          <c:yMode val="edge"/>
          <c:x val="0.21057401407716037"/>
          <c:y val="3.49427255068506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84246603810915"/>
          <c:y val="0.13033441838447063"/>
          <c:w val="0.83196362082646647"/>
          <c:h val="0.74946042635759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'131 (2)'!$C$18</c:f>
              <c:strCache>
                <c:ptCount val="1"/>
                <c:pt idx="0">
                  <c:v>1402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('131 (2)'!$A$19:$B$20,'131 (2)'!$A$21:$B$21)</c:f>
              <c:strCache>
                <c:ptCount val="3"/>
                <c:pt idx="0">
                  <c:v>تعميرات اساسي</c:v>
                </c:pt>
                <c:pt idx="1">
                  <c:v>بازديد ساليانه</c:v>
                </c:pt>
                <c:pt idx="2">
                  <c:v>تعمیرات بازسازی</c:v>
                </c:pt>
              </c:strCache>
            </c:strRef>
          </c:cat>
          <c:val>
            <c:numRef>
              <c:f>('131 (2)'!$C$19:$C$20,'131 (2)'!$C$21)</c:f>
              <c:numCache>
                <c:formatCode>General</c:formatCode>
                <c:ptCount val="3"/>
                <c:pt idx="0">
                  <c:v>0</c:v>
                </c:pt>
                <c:pt idx="1">
                  <c:v>1285</c:v>
                </c:pt>
                <c:pt idx="2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A8-490F-BEA6-973E76441AEE}"/>
            </c:ext>
          </c:extLst>
        </c:ser>
        <c:ser>
          <c:idx val="1"/>
          <c:order val="1"/>
          <c:tx>
            <c:strRef>
              <c:f>'131 (2)'!$D$18</c:f>
              <c:strCache>
                <c:ptCount val="1"/>
                <c:pt idx="0">
                  <c:v>1403</c:v>
                </c:pt>
              </c:strCache>
            </c:strRef>
          </c:tx>
          <c:spPr>
            <a:pattFill prst="pct80">
              <a:fgClr>
                <a:srgbClr val="00B05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('131 (2)'!$A$19:$B$20,'131 (2)'!$A$21:$B$21)</c:f>
              <c:strCache>
                <c:ptCount val="3"/>
                <c:pt idx="0">
                  <c:v>تعميرات اساسي</c:v>
                </c:pt>
                <c:pt idx="1">
                  <c:v>بازديد ساليانه</c:v>
                </c:pt>
                <c:pt idx="2">
                  <c:v>تعمیرات بازسازی</c:v>
                </c:pt>
              </c:strCache>
            </c:strRef>
          </c:cat>
          <c:val>
            <c:numRef>
              <c:f>('131 (2)'!$D$19:$D$20,'131 (2)'!$D$21)</c:f>
              <c:numCache>
                <c:formatCode>General</c:formatCode>
                <c:ptCount val="3"/>
                <c:pt idx="0">
                  <c:v>4</c:v>
                </c:pt>
                <c:pt idx="1">
                  <c:v>1210</c:v>
                </c:pt>
                <c:pt idx="2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A8-490F-BEA6-973E76441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418229488"/>
        <c:axId val="1418222416"/>
      </c:barChart>
      <c:catAx>
        <c:axId val="141822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1418222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18222416"/>
        <c:scaling>
          <c:orientation val="minMax"/>
          <c:max val="180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prs-AF"/>
          </a:p>
        </c:txPr>
        <c:crossAx val="1418229488"/>
        <c:crosses val="autoZero"/>
        <c:crossBetween val="between"/>
        <c:majorUnit val="200"/>
        <c:minorUnit val="1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9479308351114"/>
          <c:y val="0.32301031677970948"/>
          <c:w val="0.12981652253848619"/>
          <c:h val="0.183396827871763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B Nazanin"/>
              <a:ea typeface="B Nazanin"/>
              <a:cs typeface="B Nazanin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99"/>
                </a:solidFill>
                <a:latin typeface="B Roya"/>
                <a:ea typeface="B Roya"/>
                <a:cs typeface="B Roya"/>
              </a:defRPr>
            </a:pPr>
            <a:r>
              <a:rPr lang="fa-IR" sz="900">
                <a:solidFill>
                  <a:srgbClr val="000099"/>
                </a:solidFill>
              </a:rPr>
              <a:t>خ - تن كيلومتر بار</a:t>
            </a:r>
          </a:p>
        </c:rich>
      </c:tx>
      <c:layout>
        <c:manualLayout>
          <c:xMode val="edge"/>
          <c:yMode val="edge"/>
          <c:x val="0.38914121403614355"/>
          <c:y val="2.85715083486904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97477636448954"/>
          <c:y val="0.16173395878706651"/>
          <c:w val="0.82366148381650739"/>
          <c:h val="0.69115541408387782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33CC33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'18'!$E$2:$N$2</c:f>
              <c:numCache>
                <c:formatCode>General</c:formatCode>
                <c:ptCount val="10"/>
                <c:pt idx="0">
                  <c:v>1394</c:v>
                </c:pt>
                <c:pt idx="1">
                  <c:v>1395</c:v>
                </c:pt>
                <c:pt idx="2">
                  <c:v>1396</c:v>
                </c:pt>
                <c:pt idx="3">
                  <c:v>1397</c:v>
                </c:pt>
                <c:pt idx="4">
                  <c:v>1398</c:v>
                </c:pt>
                <c:pt idx="5">
                  <c:v>1399</c:v>
                </c:pt>
                <c:pt idx="6">
                  <c:v>1400</c:v>
                </c:pt>
                <c:pt idx="7">
                  <c:v>1401</c:v>
                </c:pt>
                <c:pt idx="8">
                  <c:v>1402</c:v>
                </c:pt>
                <c:pt idx="9">
                  <c:v>1403</c:v>
                </c:pt>
              </c:numCache>
            </c:numRef>
          </c:cat>
          <c:val>
            <c:numRef>
              <c:f>'18'!$E$14:$N$14</c:f>
              <c:numCache>
                <c:formatCode>#,##0</c:formatCode>
                <c:ptCount val="10"/>
                <c:pt idx="0">
                  <c:v>25014</c:v>
                </c:pt>
                <c:pt idx="1">
                  <c:v>27242.582999999999</c:v>
                </c:pt>
                <c:pt idx="2">
                  <c:v>30299</c:v>
                </c:pt>
                <c:pt idx="3">
                  <c:v>34859.031986000002</c:v>
                </c:pt>
                <c:pt idx="4">
                  <c:v>33645.702255999997</c:v>
                </c:pt>
                <c:pt idx="5">
                  <c:v>35962.951547999997</c:v>
                </c:pt>
                <c:pt idx="6">
                  <c:v>32920.00923499999</c:v>
                </c:pt>
                <c:pt idx="7">
                  <c:v>30249</c:v>
                </c:pt>
                <c:pt idx="8">
                  <c:v>29135.634424</c:v>
                </c:pt>
                <c:pt idx="9">
                  <c:v>28732.815880999999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DC-4B1F-A5AD-78952F5C5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8817568"/>
        <c:axId val="-1538815936"/>
      </c:lineChart>
      <c:catAx>
        <c:axId val="-153881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15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38815936"/>
        <c:scaling>
          <c:orientation val="minMax"/>
          <c:max val="40000"/>
          <c:min val="16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17568"/>
        <c:crosses val="autoZero"/>
        <c:crossBetween val="between"/>
        <c:majorUnit val="4000"/>
        <c:dispUnits>
          <c:builtInUnit val="thousands"/>
          <c:dispUnitsLbl>
            <c:layout>
              <c:manualLayout>
                <c:xMode val="edge"/>
                <c:yMode val="edge"/>
                <c:x val="5.4429342828961683E-3"/>
                <c:y val="0.1771435751382141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575" b="1" i="0" u="none" strike="noStrike" baseline="0">
                      <a:solidFill>
                        <a:srgbClr val="FF0000"/>
                      </a:solidFill>
                      <a:latin typeface="B Roya"/>
                      <a:ea typeface="B Roya"/>
                      <a:cs typeface="B Roya"/>
                    </a:defRPr>
                  </a:pPr>
                  <a:r>
                    <a:rPr lang="fa-IR"/>
                    <a:t>ميليارد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99"/>
                </a:solidFill>
                <a:latin typeface="B Roya"/>
                <a:ea typeface="B Roya"/>
                <a:cs typeface="B Roya"/>
              </a:defRPr>
            </a:pPr>
            <a:r>
              <a:rPr lang="fa-IR" sz="900">
                <a:solidFill>
                  <a:srgbClr val="000099"/>
                </a:solidFill>
              </a:rPr>
              <a:t>د - تعداد واگن بارگيري شده</a:t>
            </a:r>
          </a:p>
        </c:rich>
      </c:tx>
      <c:layout>
        <c:manualLayout>
          <c:xMode val="edge"/>
          <c:yMode val="edge"/>
          <c:x val="0.35971245632512494"/>
          <c:y val="2.8571349633927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27338129496402"/>
          <c:y val="0.15639303065840174"/>
          <c:w val="0.81034382399401594"/>
          <c:h val="0.70330317752834082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33CC33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'18'!$E$2:$N$2</c:f>
              <c:numCache>
                <c:formatCode>General</c:formatCode>
                <c:ptCount val="10"/>
                <c:pt idx="0">
                  <c:v>1394</c:v>
                </c:pt>
                <c:pt idx="1">
                  <c:v>1395</c:v>
                </c:pt>
                <c:pt idx="2">
                  <c:v>1396</c:v>
                </c:pt>
                <c:pt idx="3">
                  <c:v>1397</c:v>
                </c:pt>
                <c:pt idx="4">
                  <c:v>1398</c:v>
                </c:pt>
                <c:pt idx="5">
                  <c:v>1399</c:v>
                </c:pt>
                <c:pt idx="6">
                  <c:v>1400</c:v>
                </c:pt>
                <c:pt idx="7">
                  <c:v>1401</c:v>
                </c:pt>
                <c:pt idx="8">
                  <c:v>1402</c:v>
                </c:pt>
                <c:pt idx="9">
                  <c:v>1403</c:v>
                </c:pt>
              </c:numCache>
            </c:numRef>
          </c:cat>
          <c:val>
            <c:numRef>
              <c:f>'18'!$E$17:$N$17</c:f>
              <c:numCache>
                <c:formatCode>#,##0</c:formatCode>
                <c:ptCount val="10"/>
                <c:pt idx="0">
                  <c:v>571710</c:v>
                </c:pt>
                <c:pt idx="1">
                  <c:v>643166</c:v>
                </c:pt>
                <c:pt idx="2">
                  <c:v>742316</c:v>
                </c:pt>
                <c:pt idx="3">
                  <c:v>788521</c:v>
                </c:pt>
                <c:pt idx="4">
                  <c:v>732177</c:v>
                </c:pt>
                <c:pt idx="5">
                  <c:v>808321</c:v>
                </c:pt>
                <c:pt idx="6">
                  <c:v>770296</c:v>
                </c:pt>
                <c:pt idx="7">
                  <c:v>725144</c:v>
                </c:pt>
                <c:pt idx="8">
                  <c:v>689037</c:v>
                </c:pt>
                <c:pt idx="9">
                  <c:v>664313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C9-4607-99FF-99E8E4B14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8812128"/>
        <c:axId val="-1538817024"/>
      </c:lineChart>
      <c:catAx>
        <c:axId val="-153881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17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38817024"/>
        <c:scaling>
          <c:orientation val="minMax"/>
          <c:min val="35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12128"/>
        <c:crosses val="autoZero"/>
        <c:crossBetween val="between"/>
        <c:majorUnit val="100000"/>
        <c:dispUnits>
          <c:builtInUnit val="thousands"/>
          <c:dispUnitsLbl>
            <c:layout>
              <c:manualLayout>
                <c:xMode val="edge"/>
                <c:yMode val="edge"/>
                <c:x val="1.7985611510791366E-2"/>
                <c:y val="0.18285765306264806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550" b="1" i="0" u="none" strike="noStrike" baseline="0">
                      <a:solidFill>
                        <a:srgbClr val="FF0000"/>
                      </a:solidFill>
                      <a:latin typeface="B Roya"/>
                      <a:ea typeface="B Roya"/>
                      <a:cs typeface="B Roya"/>
                    </a:defRPr>
                  </a:pPr>
                  <a:r>
                    <a:rPr lang="fa-IR"/>
                    <a:t>هزاردستگاه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99"/>
                </a:solidFill>
                <a:latin typeface="B Roya"/>
                <a:ea typeface="B Roya"/>
                <a:cs typeface="B Roya"/>
              </a:defRPr>
            </a:pPr>
            <a:r>
              <a:rPr lang="fa-IR" sz="900">
                <a:solidFill>
                  <a:srgbClr val="000099"/>
                </a:solidFill>
              </a:rPr>
              <a:t>ج- نفركيلومترمسافر</a:t>
            </a:r>
          </a:p>
        </c:rich>
      </c:tx>
      <c:layout>
        <c:manualLayout>
          <c:xMode val="edge"/>
          <c:yMode val="edge"/>
          <c:x val="0.39305331206589533"/>
          <c:y val="2.80617368481113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08551385877712"/>
          <c:y val="0.15807108206538167"/>
          <c:w val="0.82991447268136231"/>
          <c:h val="0.67877643265341392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33CC33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'18'!$E$2:$N$2</c:f>
              <c:numCache>
                <c:formatCode>General</c:formatCode>
                <c:ptCount val="10"/>
                <c:pt idx="0">
                  <c:v>1394</c:v>
                </c:pt>
                <c:pt idx="1">
                  <c:v>1395</c:v>
                </c:pt>
                <c:pt idx="2">
                  <c:v>1396</c:v>
                </c:pt>
                <c:pt idx="3">
                  <c:v>1397</c:v>
                </c:pt>
                <c:pt idx="4">
                  <c:v>1398</c:v>
                </c:pt>
                <c:pt idx="5">
                  <c:v>1399</c:v>
                </c:pt>
                <c:pt idx="6">
                  <c:v>1400</c:v>
                </c:pt>
                <c:pt idx="7">
                  <c:v>1401</c:v>
                </c:pt>
                <c:pt idx="8">
                  <c:v>1402</c:v>
                </c:pt>
                <c:pt idx="9">
                  <c:v>1403</c:v>
                </c:pt>
              </c:numCache>
            </c:numRef>
          </c:cat>
          <c:val>
            <c:numRef>
              <c:f>'18'!$E$12:$N$12</c:f>
              <c:numCache>
                <c:formatCode>#,##0</c:formatCode>
                <c:ptCount val="10"/>
                <c:pt idx="0">
                  <c:v>14937.81523</c:v>
                </c:pt>
                <c:pt idx="1">
                  <c:v>12982.049070999999</c:v>
                </c:pt>
                <c:pt idx="2">
                  <c:v>13272</c:v>
                </c:pt>
                <c:pt idx="3">
                  <c:v>15239.3252989999</c:v>
                </c:pt>
                <c:pt idx="4">
                  <c:v>14889.87851</c:v>
                </c:pt>
                <c:pt idx="5">
                  <c:v>5183.448249</c:v>
                </c:pt>
                <c:pt idx="6">
                  <c:v>11231.377629999966</c:v>
                </c:pt>
                <c:pt idx="7">
                  <c:v>15906.018206999999</c:v>
                </c:pt>
                <c:pt idx="8">
                  <c:v>16594.068393000001</c:v>
                </c:pt>
                <c:pt idx="9">
                  <c:v>15358.520295000022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9-4439-8337-DD083B6CF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8811040"/>
        <c:axId val="-1538815392"/>
      </c:lineChart>
      <c:catAx>
        <c:axId val="-153881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15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38815392"/>
        <c:scaling>
          <c:orientation val="minMax"/>
          <c:min val="4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11040"/>
        <c:crosses val="autoZero"/>
        <c:crossBetween val="between"/>
        <c:majorUnit val="2000"/>
        <c:dispUnits>
          <c:builtInUnit val="thousands"/>
          <c:dispUnitsLbl>
            <c:layout>
              <c:manualLayout>
                <c:xMode val="edge"/>
                <c:yMode val="edge"/>
                <c:x val="1.8181818181818181E-2"/>
                <c:y val="0.20555667077186834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550" b="1" i="0" u="none" strike="noStrike" baseline="0">
                      <a:solidFill>
                        <a:srgbClr val="FF0000"/>
                      </a:solidFill>
                      <a:latin typeface="B Roya"/>
                      <a:ea typeface="B Roya"/>
                      <a:cs typeface="B Roya"/>
                    </a:defRPr>
                  </a:pPr>
                  <a:r>
                    <a:rPr lang="fa-IR"/>
                    <a:t>ميليارد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99"/>
                </a:solidFill>
                <a:latin typeface="B Roya"/>
                <a:ea typeface="B Roya"/>
                <a:cs typeface="B Roya"/>
              </a:defRPr>
            </a:pPr>
            <a:r>
              <a:rPr lang="fa-IR" sz="900">
                <a:solidFill>
                  <a:srgbClr val="000099"/>
                </a:solidFill>
              </a:rPr>
              <a:t>ح- تناژ بار بارگيري شده</a:t>
            </a:r>
          </a:p>
        </c:rich>
      </c:tx>
      <c:layout>
        <c:manualLayout>
          <c:xMode val="edge"/>
          <c:yMode val="edge"/>
          <c:x val="0.36973919399315591"/>
          <c:y val="2.85859402709796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43432373903736"/>
          <c:y val="0.15080830350751612"/>
          <c:w val="0.83453249587215717"/>
          <c:h val="0.6932323550465282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33CC33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'18'!$E$2:$N$2</c:f>
              <c:numCache>
                <c:formatCode>General</c:formatCode>
                <c:ptCount val="10"/>
                <c:pt idx="0">
                  <c:v>1394</c:v>
                </c:pt>
                <c:pt idx="1">
                  <c:v>1395</c:v>
                </c:pt>
                <c:pt idx="2">
                  <c:v>1396</c:v>
                </c:pt>
                <c:pt idx="3">
                  <c:v>1397</c:v>
                </c:pt>
                <c:pt idx="4">
                  <c:v>1398</c:v>
                </c:pt>
                <c:pt idx="5">
                  <c:v>1399</c:v>
                </c:pt>
                <c:pt idx="6">
                  <c:v>1400</c:v>
                </c:pt>
                <c:pt idx="7">
                  <c:v>1401</c:v>
                </c:pt>
                <c:pt idx="8">
                  <c:v>1402</c:v>
                </c:pt>
                <c:pt idx="9">
                  <c:v>1403</c:v>
                </c:pt>
              </c:numCache>
            </c:numRef>
          </c:cat>
          <c:val>
            <c:numRef>
              <c:f>'18'!$E$13:$N$13</c:f>
              <c:numCache>
                <c:formatCode>#,##0</c:formatCode>
                <c:ptCount val="10"/>
                <c:pt idx="0">
                  <c:v>35647</c:v>
                </c:pt>
                <c:pt idx="1">
                  <c:v>40282.400999999998</c:v>
                </c:pt>
                <c:pt idx="2">
                  <c:v>46766</c:v>
                </c:pt>
                <c:pt idx="3">
                  <c:v>50478.47</c:v>
                </c:pt>
                <c:pt idx="4">
                  <c:v>46976.127999999997</c:v>
                </c:pt>
                <c:pt idx="5">
                  <c:v>50564.248</c:v>
                </c:pt>
                <c:pt idx="6">
                  <c:v>46912.447</c:v>
                </c:pt>
                <c:pt idx="7">
                  <c:v>44438.862999999998</c:v>
                </c:pt>
                <c:pt idx="8">
                  <c:v>42977.184999999998</c:v>
                </c:pt>
                <c:pt idx="9">
                  <c:v>40631.500999999997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3-4776-9AE8-26199E495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8813216"/>
        <c:axId val="-1538811584"/>
      </c:lineChart>
      <c:catAx>
        <c:axId val="-153881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11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38811584"/>
        <c:scaling>
          <c:orientation val="minMax"/>
          <c:min val="2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1321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7985611510791366E-2"/>
                <c:y val="0.16111198519957248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550" b="1" i="0" u="none" strike="noStrike" baseline="0">
                      <a:solidFill>
                        <a:srgbClr val="FF0000"/>
                      </a:solidFill>
                      <a:latin typeface="B Roya"/>
                      <a:ea typeface="B Roya"/>
                      <a:cs typeface="B Roya"/>
                    </a:defRPr>
                  </a:pPr>
                  <a:r>
                    <a:rPr lang="fa-IR"/>
                    <a:t>ميليون تن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99"/>
                </a:solidFill>
                <a:latin typeface="B Roya"/>
                <a:ea typeface="B Roya"/>
                <a:cs typeface="B Roya"/>
              </a:defRPr>
            </a:pPr>
            <a:r>
              <a:rPr lang="fa-IR" sz="900">
                <a:solidFill>
                  <a:srgbClr val="000099"/>
                </a:solidFill>
              </a:rPr>
              <a:t>ت - ميانگين تعدادلكوموتيوآماده بکار</a:t>
            </a:r>
          </a:p>
        </c:rich>
      </c:tx>
      <c:layout>
        <c:manualLayout>
          <c:xMode val="edge"/>
          <c:yMode val="edge"/>
          <c:x val="0.29818190995356347"/>
          <c:y val="2.8090132350477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87878787878789"/>
          <c:y val="0.16114757297102814"/>
          <c:w val="0.81517127182701044"/>
          <c:h val="0.68772550554409506"/>
        </c:manualLayout>
      </c:layout>
      <c:lineChart>
        <c:grouping val="standard"/>
        <c:varyColors val="0"/>
        <c:ser>
          <c:idx val="0"/>
          <c:order val="0"/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'18'!$E$2:$L$2</c:f>
              <c:numCache>
                <c:formatCode>General</c:formatCode>
                <c:ptCount val="8"/>
                <c:pt idx="0">
                  <c:v>1394</c:v>
                </c:pt>
                <c:pt idx="1">
                  <c:v>1395</c:v>
                </c:pt>
                <c:pt idx="2">
                  <c:v>1396</c:v>
                </c:pt>
                <c:pt idx="3">
                  <c:v>1397</c:v>
                </c:pt>
                <c:pt idx="4">
                  <c:v>1398</c:v>
                </c:pt>
                <c:pt idx="5">
                  <c:v>1399</c:v>
                </c:pt>
                <c:pt idx="6">
                  <c:v>1400</c:v>
                </c:pt>
                <c:pt idx="7">
                  <c:v>1401</c:v>
                </c:pt>
              </c:numCache>
            </c:numRef>
          </c:cat>
          <c:val>
            <c:numRef>
              <c:f>'18'!#REF!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13-4CE9-930B-CF3A02FA4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8809408"/>
        <c:axId val="-1538835520"/>
      </c:lineChart>
      <c:catAx>
        <c:axId val="-153880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35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38835520"/>
        <c:scaling>
          <c:orientation val="minMax"/>
          <c:max val="600"/>
          <c:min val="3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600" b="1" i="0" u="none" strike="noStrike" baseline="0">
                    <a:solidFill>
                      <a:srgbClr val="FF0000"/>
                    </a:solidFill>
                    <a:latin typeface="B Roya"/>
                    <a:ea typeface="B Roya"/>
                    <a:cs typeface="B Roya"/>
                  </a:defRPr>
                </a:pPr>
                <a:r>
                  <a:rPr lang="fa-IR"/>
                  <a:t>دستگاه</a:t>
                </a:r>
              </a:p>
            </c:rich>
          </c:tx>
          <c:layout>
            <c:manualLayout>
              <c:xMode val="edge"/>
              <c:yMode val="edge"/>
              <c:x val="3.9827713843461881E-3"/>
              <c:y val="0.234173786787289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1538809408"/>
        <c:crosses val="autoZero"/>
        <c:crossBetween val="between"/>
        <c:majorUnit val="5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B Roya"/>
          <a:ea typeface="B Roya"/>
          <a:cs typeface="B Roya"/>
        </a:defRPr>
      </a:pPr>
      <a:endParaRPr lang="prs-AF"/>
    </a:p>
  </c:txPr>
  <c:printSettings>
    <c:headerFooter alignWithMargins="0"/>
    <c:pageMargins b="1" l="0.75" r="0.75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>
    <tabColor rgb="FF00B050"/>
  </sheetPr>
  <sheetViews>
    <sheetView zoomScale="75" workbookViewId="0"/>
  </sheetViews>
  <pageMargins left="0.70866141732283472" right="0.70866141732283472" top="0.74803149606299213" bottom="0.74803149606299213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4</xdr:col>
      <xdr:colOff>590550</xdr:colOff>
      <xdr:row>6</xdr:row>
      <xdr:rowOff>266700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28575</xdr:colOff>
      <xdr:row>1</xdr:row>
      <xdr:rowOff>28575</xdr:rowOff>
    </xdr:from>
    <xdr:to>
      <xdr:col>9</xdr:col>
      <xdr:colOff>552450</xdr:colOff>
      <xdr:row>6</xdr:row>
      <xdr:rowOff>276225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28575</xdr:colOff>
      <xdr:row>7</xdr:row>
      <xdr:rowOff>19050</xdr:rowOff>
    </xdr:from>
    <xdr:to>
      <xdr:col>9</xdr:col>
      <xdr:colOff>561975</xdr:colOff>
      <xdr:row>12</xdr:row>
      <xdr:rowOff>285750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17691</xdr:colOff>
      <xdr:row>19</xdr:row>
      <xdr:rowOff>14968</xdr:rowOff>
    </xdr:from>
    <xdr:to>
      <xdr:col>9</xdr:col>
      <xdr:colOff>579666</xdr:colOff>
      <xdr:row>24</xdr:row>
      <xdr:rowOff>281668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19050</xdr:colOff>
      <xdr:row>25</xdr:row>
      <xdr:rowOff>0</xdr:rowOff>
    </xdr:from>
    <xdr:to>
      <xdr:col>9</xdr:col>
      <xdr:colOff>571500</xdr:colOff>
      <xdr:row>30</xdr:row>
      <xdr:rowOff>266700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28575</xdr:colOff>
      <xdr:row>24</xdr:row>
      <xdr:rowOff>295275</xdr:rowOff>
    </xdr:from>
    <xdr:to>
      <xdr:col>4</xdr:col>
      <xdr:colOff>581025</xdr:colOff>
      <xdr:row>30</xdr:row>
      <xdr:rowOff>276225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44903</xdr:colOff>
      <xdr:row>13</xdr:row>
      <xdr:rowOff>48986</xdr:rowOff>
    </xdr:from>
    <xdr:to>
      <xdr:col>4</xdr:col>
      <xdr:colOff>568778</xdr:colOff>
      <xdr:row>18</xdr:row>
      <xdr:rowOff>277586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19050</xdr:colOff>
      <xdr:row>19</xdr:row>
      <xdr:rowOff>19050</xdr:rowOff>
    </xdr:from>
    <xdr:to>
      <xdr:col>4</xdr:col>
      <xdr:colOff>590550</xdr:colOff>
      <xdr:row>24</xdr:row>
      <xdr:rowOff>257175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50346</xdr:colOff>
      <xdr:row>7</xdr:row>
      <xdr:rowOff>35378</xdr:rowOff>
    </xdr:from>
    <xdr:to>
      <xdr:col>4</xdr:col>
      <xdr:colOff>583746</xdr:colOff>
      <xdr:row>12</xdr:row>
      <xdr:rowOff>302078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8164</xdr:colOff>
      <xdr:row>13</xdr:row>
      <xdr:rowOff>8164</xdr:rowOff>
    </xdr:from>
    <xdr:to>
      <xdr:col>9</xdr:col>
      <xdr:colOff>579664</xdr:colOff>
      <xdr:row>18</xdr:row>
      <xdr:rowOff>255814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4</xdr:col>
      <xdr:colOff>895350</xdr:colOff>
      <xdr:row>16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90055</xdr:rowOff>
    </xdr:from>
    <xdr:to>
      <xdr:col>4</xdr:col>
      <xdr:colOff>952500</xdr:colOff>
      <xdr:row>14</xdr:row>
      <xdr:rowOff>175780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0</xdr:rowOff>
    </xdr:from>
    <xdr:to>
      <xdr:col>11</xdr:col>
      <xdr:colOff>495300</xdr:colOff>
      <xdr:row>18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19</xdr:row>
      <xdr:rowOff>114300</xdr:rowOff>
    </xdr:from>
    <xdr:to>
      <xdr:col>11</xdr:col>
      <xdr:colOff>485775</xdr:colOff>
      <xdr:row>38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266700</xdr:rowOff>
    </xdr:from>
    <xdr:to>
      <xdr:col>4</xdr:col>
      <xdr:colOff>1628775</xdr:colOff>
      <xdr:row>15</xdr:row>
      <xdr:rowOff>123825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19050</xdr:rowOff>
    </xdr:from>
    <xdr:to>
      <xdr:col>7</xdr:col>
      <xdr:colOff>0</xdr:colOff>
      <xdr:row>18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261676</xdr:rowOff>
    </xdr:from>
    <xdr:to>
      <xdr:col>5</xdr:col>
      <xdr:colOff>1</xdr:colOff>
      <xdr:row>14</xdr:row>
      <xdr:rowOff>94204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>
          <a:spLocks noChangeArrowheads="1"/>
        </xdr:cNvSpPr>
      </xdr:nvSpPr>
      <xdr:spPr bwMode="auto">
        <a:xfrm>
          <a:off x="11233270649" y="7967401"/>
          <a:ext cx="8877301" cy="432603"/>
        </a:xfrm>
        <a:prstGeom prst="rect">
          <a:avLst/>
        </a:prstGeom>
        <a:solidFill>
          <a:srgbClr val="BDD85F">
            <a:alpha val="50000"/>
          </a:srgbClr>
        </a:solidFill>
        <a:ln w="2540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45720" tIns="82296" rIns="45720" bIns="82296" anchor="ctr" upright="1"/>
        <a:lstStyle/>
        <a:p>
          <a:pPr algn="ctr" rtl="1">
            <a:defRPr sz="1000"/>
          </a:pPr>
          <a:r>
            <a:rPr lang="fa-IR" sz="1600" b="0" i="0" strike="noStrike">
              <a:solidFill>
                <a:srgbClr val="000000"/>
              </a:solidFill>
              <a:cs typeface="B Titr"/>
            </a:rPr>
            <a:t>جدول شماره 54   تعداد ايستگاههاي علائمي و غير علائمي  به تفكيك نوع در سال 1403</a:t>
          </a:r>
        </a:p>
      </xdr:txBody>
    </xdr:sp>
    <xdr:clientData/>
  </xdr:twoCellAnchor>
  <xdr:twoCellAnchor>
    <xdr:from>
      <xdr:col>0</xdr:col>
      <xdr:colOff>0</xdr:colOff>
      <xdr:row>42</xdr:row>
      <xdr:rowOff>0</xdr:rowOff>
    </xdr:from>
    <xdr:to>
      <xdr:col>3</xdr:col>
      <xdr:colOff>1036236</xdr:colOff>
      <xdr:row>44</xdr:row>
      <xdr:rowOff>94203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>
          <a:spLocks noChangeArrowheads="1"/>
        </xdr:cNvSpPr>
      </xdr:nvSpPr>
      <xdr:spPr bwMode="auto">
        <a:xfrm>
          <a:off x="11317113049" y="15951758"/>
          <a:ext cx="7305989" cy="491950"/>
        </a:xfrm>
        <a:prstGeom prst="rect">
          <a:avLst/>
        </a:prstGeom>
        <a:solidFill>
          <a:srgbClr val="BDD85F">
            <a:alpha val="50000"/>
          </a:srgbClr>
        </a:solidFill>
        <a:ln w="2540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45720" tIns="82296" rIns="45720" bIns="82296" anchor="ctr" upright="1"/>
        <a:lstStyle/>
        <a:p>
          <a:pPr algn="ctr" rtl="1">
            <a:defRPr sz="1000"/>
          </a:pPr>
          <a:r>
            <a:rPr lang="fa-IR" sz="1200" b="0" i="0" strike="noStrike">
              <a:solidFill>
                <a:srgbClr val="000000"/>
              </a:solidFill>
              <a:cs typeface="B Titr"/>
            </a:rPr>
            <a:t>جدول شماره 55- تجهيزات ارتباطي به تفكيك خطوط انتقال تا پايان سال1403</a:t>
          </a:r>
          <a:r>
            <a:rPr lang="fa-IR" sz="1200" b="0" i="0" strike="noStrike" baseline="0">
              <a:solidFill>
                <a:srgbClr val="000000"/>
              </a:solidFill>
              <a:cs typeface="B Titr"/>
            </a:rPr>
            <a:t>  </a:t>
          </a:r>
          <a:endParaRPr lang="fa-IR" sz="1200" b="0" i="0" strike="noStrike">
            <a:solidFill>
              <a:srgbClr val="000000"/>
            </a:solidFill>
            <a:cs typeface="B Titr"/>
          </a:endParaRPr>
        </a:p>
        <a:p>
          <a:pPr algn="ctr" rtl="1">
            <a:defRPr sz="1000"/>
          </a:pPr>
          <a:r>
            <a:rPr lang="fa-IR" sz="1200" b="0" i="0" strike="noStrike">
              <a:solidFill>
                <a:srgbClr val="000000"/>
              </a:solidFill>
              <a:cs typeface="B Titr"/>
            </a:rPr>
            <a:t>واحد  : كيلومتر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2381</xdr:rowOff>
    </xdr:from>
    <xdr:to>
      <xdr:col>9</xdr:col>
      <xdr:colOff>457200</xdr:colOff>
      <xdr:row>14</xdr:row>
      <xdr:rowOff>202406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15</xdr:row>
      <xdr:rowOff>123825</xdr:rowOff>
    </xdr:from>
    <xdr:to>
      <xdr:col>9</xdr:col>
      <xdr:colOff>466725</xdr:colOff>
      <xdr:row>30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17</xdr:row>
      <xdr:rowOff>238125</xdr:rowOff>
    </xdr:from>
    <xdr:to>
      <xdr:col>13</xdr:col>
      <xdr:colOff>542925</xdr:colOff>
      <xdr:row>31</xdr:row>
      <xdr:rowOff>119486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32</xdr:row>
      <xdr:rowOff>28575</xdr:rowOff>
    </xdr:from>
    <xdr:to>
      <xdr:col>13</xdr:col>
      <xdr:colOff>542925</xdr:colOff>
      <xdr:row>48</xdr:row>
      <xdr:rowOff>138536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absoluteAnchor>
    <xdr:pos x="2095501" y="971550"/>
    <xdr:ext cx="7343774" cy="3324225"/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38100</xdr:rowOff>
    </xdr:from>
    <xdr:to>
      <xdr:col>10</xdr:col>
      <xdr:colOff>495300</xdr:colOff>
      <xdr:row>17</xdr:row>
      <xdr:rowOff>152400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19</xdr:row>
      <xdr:rowOff>152400</xdr:rowOff>
    </xdr:from>
    <xdr:to>
      <xdr:col>10</xdr:col>
      <xdr:colOff>485775</xdr:colOff>
      <xdr:row>36</xdr:row>
      <xdr:rowOff>219075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10</xdr:col>
      <xdr:colOff>457200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4</xdr:col>
      <xdr:colOff>828675</xdr:colOff>
      <xdr:row>19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28575</xdr:colOff>
      <xdr:row>0</xdr:row>
      <xdr:rowOff>47625</xdr:rowOff>
    </xdr:from>
    <xdr:to>
      <xdr:col>9</xdr:col>
      <xdr:colOff>866775</xdr:colOff>
      <xdr:row>19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47625</xdr:colOff>
      <xdr:row>0</xdr:row>
      <xdr:rowOff>47625</xdr:rowOff>
    </xdr:from>
    <xdr:to>
      <xdr:col>14</xdr:col>
      <xdr:colOff>800100</xdr:colOff>
      <xdr:row>19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38100</xdr:colOff>
      <xdr:row>0</xdr:row>
      <xdr:rowOff>66675</xdr:rowOff>
    </xdr:from>
    <xdr:to>
      <xdr:col>19</xdr:col>
      <xdr:colOff>828675</xdr:colOff>
      <xdr:row>19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19050</xdr:colOff>
      <xdr:row>0</xdr:row>
      <xdr:rowOff>47625</xdr:rowOff>
    </xdr:from>
    <xdr:to>
      <xdr:col>24</xdr:col>
      <xdr:colOff>819150</xdr:colOff>
      <xdr:row>18</xdr:row>
      <xdr:rowOff>114300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28575</xdr:colOff>
      <xdr:row>0</xdr:row>
      <xdr:rowOff>57150</xdr:rowOff>
    </xdr:from>
    <xdr:to>
      <xdr:col>29</xdr:col>
      <xdr:colOff>790575</xdr:colOff>
      <xdr:row>18</xdr:row>
      <xdr:rowOff>104775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38100</xdr:colOff>
      <xdr:row>0</xdr:row>
      <xdr:rowOff>38100</xdr:rowOff>
    </xdr:from>
    <xdr:to>
      <xdr:col>4</xdr:col>
      <xdr:colOff>828675</xdr:colOff>
      <xdr:row>19</xdr:row>
      <xdr:rowOff>9525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28575</xdr:colOff>
      <xdr:row>0</xdr:row>
      <xdr:rowOff>47625</xdr:rowOff>
    </xdr:from>
    <xdr:to>
      <xdr:col>9</xdr:col>
      <xdr:colOff>866775</xdr:colOff>
      <xdr:row>19</xdr:row>
      <xdr:rowOff>0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47625</xdr:colOff>
      <xdr:row>0</xdr:row>
      <xdr:rowOff>47625</xdr:rowOff>
    </xdr:from>
    <xdr:to>
      <xdr:col>14</xdr:col>
      <xdr:colOff>800100</xdr:colOff>
      <xdr:row>19</xdr:row>
      <xdr:rowOff>0</xdr:rowOff>
    </xdr:to>
    <xdr:graphicFrame macro="">
      <xdr:nvGraphicFramePr>
        <xdr:cNvPr id="10" name="Chart 3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38100</xdr:colOff>
      <xdr:row>0</xdr:row>
      <xdr:rowOff>66675</xdr:rowOff>
    </xdr:from>
    <xdr:to>
      <xdr:col>19</xdr:col>
      <xdr:colOff>828675</xdr:colOff>
      <xdr:row>19</xdr:row>
      <xdr:rowOff>19050</xdr:rowOff>
    </xdr:to>
    <xdr:graphicFrame macro="">
      <xdr:nvGraphicFramePr>
        <xdr:cNvPr id="11" name="Chart 4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19050</xdr:colOff>
      <xdr:row>0</xdr:row>
      <xdr:rowOff>47625</xdr:rowOff>
    </xdr:from>
    <xdr:to>
      <xdr:col>24</xdr:col>
      <xdr:colOff>819150</xdr:colOff>
      <xdr:row>18</xdr:row>
      <xdr:rowOff>114300</xdr:rowOff>
    </xdr:to>
    <xdr:graphicFrame macro="">
      <xdr:nvGraphicFramePr>
        <xdr:cNvPr id="12" name="Chart 5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25</xdr:col>
      <xdr:colOff>28575</xdr:colOff>
      <xdr:row>0</xdr:row>
      <xdr:rowOff>57150</xdr:rowOff>
    </xdr:from>
    <xdr:to>
      <xdr:col>29</xdr:col>
      <xdr:colOff>790575</xdr:colOff>
      <xdr:row>18</xdr:row>
      <xdr:rowOff>104775</xdr:rowOff>
    </xdr:to>
    <xdr:graphicFrame macro="">
      <xdr:nvGraphicFramePr>
        <xdr:cNvPr id="13" name="Chart 6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47625</xdr:rowOff>
    </xdr:from>
    <xdr:to>
      <xdr:col>4</xdr:col>
      <xdr:colOff>866775</xdr:colOff>
      <xdr:row>17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0</xdr:row>
      <xdr:rowOff>38100</xdr:rowOff>
    </xdr:from>
    <xdr:to>
      <xdr:col>4</xdr:col>
      <xdr:colOff>1285874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0</xdr:row>
      <xdr:rowOff>47626</xdr:rowOff>
    </xdr:from>
    <xdr:to>
      <xdr:col>7</xdr:col>
      <xdr:colOff>790575</xdr:colOff>
      <xdr:row>17</xdr:row>
      <xdr:rowOff>190501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243923</xdr:colOff>
      <xdr:row>0</xdr:row>
      <xdr:rowOff>21535</xdr:rowOff>
    </xdr:from>
    <xdr:to>
      <xdr:col>4</xdr:col>
      <xdr:colOff>1082123</xdr:colOff>
      <xdr:row>14</xdr:row>
      <xdr:rowOff>107260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38100</xdr:rowOff>
    </xdr:from>
    <xdr:to>
      <xdr:col>4</xdr:col>
      <xdr:colOff>885825</xdr:colOff>
      <xdr:row>15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4</xdr:col>
      <xdr:colOff>895350</xdr:colOff>
      <xdr:row>16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83700" cy="6083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4</xdr:col>
      <xdr:colOff>876300</xdr:colOff>
      <xdr:row>16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4</xdr:col>
      <xdr:colOff>866775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47625</xdr:rowOff>
    </xdr:from>
    <xdr:to>
      <xdr:col>9</xdr:col>
      <xdr:colOff>485775</xdr:colOff>
      <xdr:row>12</xdr:row>
      <xdr:rowOff>219075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13</xdr:row>
      <xdr:rowOff>57150</xdr:rowOff>
    </xdr:from>
    <xdr:to>
      <xdr:col>9</xdr:col>
      <xdr:colOff>476250</xdr:colOff>
      <xdr:row>26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26</xdr:row>
      <xdr:rowOff>167121</xdr:rowOff>
    </xdr:from>
    <xdr:to>
      <xdr:col>9</xdr:col>
      <xdr:colOff>447675</xdr:colOff>
      <xdr:row>39</xdr:row>
      <xdr:rowOff>138546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0.53709</cdr:x>
      <cdr:y>0.72016</cdr:y>
    </cdr:from>
    <cdr:to>
      <cdr:x>0.53018</cdr:x>
      <cdr:y>0.7344</cdr:y>
    </cdr:to>
    <cdr:sp macro="" textlink="">
      <cdr:nvSpPr>
        <cdr:cNvPr id="798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3725" y="1533052"/>
          <a:ext cx="193725" cy="2092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ppGen\AutoTemps\&#1580;&#1606;&#1608;&#157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5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ppGen\AutoTemps\&#1580;&#1606;&#1608;&#157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0;&#1605;&#1575;&#1585;\1402\&#1587;&#1575;&#1604;&#1606;&#1575;&#1605;&#1607;\&#1576;&#1582;&#1588;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bfile01\Department%20of%20Abbasabad\Users\goharnejad_f\Desktop\&#1705;&#1578;&#1575;&#1576;%20&#1587;&#1575;&#1604;%20139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0;&#1605;&#1575;&#1585;\1400\&#1587;&#1575;&#1604;&#1606;&#1575;&#1605;&#1607;%201400\&#1576;&#1582;&#1588;%20%20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0;&#1605;&#1575;&#1585;\1401\&#1587;&#1575;&#1604;&#1606;&#1575;&#1605;&#1607;%20401\&#1587;&#1575;&#1604;&#1606;&#1575;&#1605;&#1607;%20401\401%20&#1582;&#1575;&#1606;&#1605;%20&#1605;&#1581;&#1605;&#1583;&#1740;\&#1601;&#1575;&#1740;&#1604;&#1607;&#1575;&#1740;%20&#1587;&#1575;&#1604;&#1606;&#1575;&#1605;&#1607;%20&#1570;&#1605;&#1575;&#1585;%20&#1585;&#1740;&#1604;&#1740;%201401\&#1576;&#1582;&#1588;%20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87;&#1575;&#1604;&#1606;&#1575;&#1605;&#1607;%20&#1570;&#1605;&#1575;&#1585;&#1740;\&#1587;&#1575;&#1604;&#1606;&#1575;&#1605;&#1607;%201403\&#1740;&#1575;&#1583;&#1583;&#1575;&#1588;&#1578;%20&#1607;&#1575;&#1740;%20&#1602;&#1740;&#1605;&#1578;%20&#1578;&#1605;&#1575;&#1605;%20&#1588;&#1583;&#1607;\&#1593;&#1605;&#1604;&#1740;&#1575;&#1578;&#1740;\&#1740;&#1575;&#1583;&#1583;&#1575;&#1588;&#1578;-&#1587;&#1585;&#1576;&#1575;&#1585;-&#1606;&#1607;&#1575;&#1740;&#1740;_D1404_02_28-T09_53_5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87;&#1575;&#1604;&#1606;&#1575;&#1605;&#1607;%20&#1570;&#1605;&#1575;&#1585;&#1740;\&#1587;&#1575;&#1604;&#1606;&#1575;&#1605;&#1607;%201403\&#1740;&#1575;&#1583;&#1583;&#1575;&#1588;&#1578;%20&#1607;&#1575;&#1740;%20&#1602;&#1740;&#1605;&#1578;%20&#1578;&#1605;&#1575;&#1605;%20&#1588;&#1583;&#1607;\&#1593;&#1605;&#1604;&#1740;&#1575;&#1578;&#1740;\&#1740;&#1575;&#1583;&#1583;&#1575;&#1588;&#1578;-&#1605;&#1608;&#1575;&#1583;-&#1606;&#1607;&#1575;&#1740;&#1740;_D1404_02_28-T09_52_5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87;&#1575;&#1604;&#1606;&#1575;&#1605;&#1607;%20&#1570;&#1605;&#1575;&#1585;&#1740;\&#1587;&#1575;&#1604;&#1606;&#1575;&#1605;&#1607;%201403\&#1740;&#1575;&#1583;&#1583;&#1575;&#1588;&#1578;%20&#1607;&#1575;&#1740;%20&#1602;&#1740;&#1605;&#1578;%20&#1578;&#1605;&#1575;&#1605;%20&#1588;&#1583;&#1607;\&#1740;&#1575;&#1583;&#1583;&#1575;&#1588;&#1578;-&#1587;&#1585;&#1576;&#1575;&#1585;-&#1606;&#1607;&#1575;&#1740;&#1740;_D1404_02_28-T09_53_5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خط  وابنيه "/>
      <sheetName val="خطوط فرعی احداث شده"/>
      <sheetName val="آمار خطوط فرعي "/>
      <sheetName val="سوزنها "/>
      <sheetName val="شيب وفراز "/>
      <sheetName val="Sheet5"/>
    </sheetNames>
    <sheetDataSet>
      <sheetData sheetId="0"/>
      <sheetData sheetId="1"/>
      <sheetData sheetId="2"/>
      <sheetData sheetId="3"/>
      <sheetData sheetId="4"/>
      <sheetData sheetId="5">
        <row r="5">
          <cell r="C5" t="str">
            <v>مانوری</v>
          </cell>
        </row>
        <row r="6">
          <cell r="C6" t="str">
            <v>صنعتی تجاری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0-103j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خط  وابنيه "/>
      <sheetName val="خطوط فرعی احداث شده"/>
      <sheetName val="آمار خطوط فرعي "/>
      <sheetName val="سوزنها "/>
      <sheetName val="شيب وفراز "/>
      <sheetName val="Sheet5"/>
    </sheetNames>
    <sheetDataSet>
      <sheetData sheetId="0"/>
      <sheetData sheetId="1"/>
      <sheetData sheetId="2"/>
      <sheetData sheetId="3"/>
      <sheetData sheetId="4"/>
      <sheetData sheetId="5">
        <row r="5">
          <cell r="C5" t="str">
            <v>مانوری</v>
          </cell>
        </row>
        <row r="6">
          <cell r="C6" t="str">
            <v>صنعتی تجاری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"/>
      <sheetName val="20"/>
      <sheetName val="22"/>
      <sheetName val="24"/>
      <sheetName val="27"/>
      <sheetName val="30"/>
      <sheetName val="31"/>
      <sheetName val="32"/>
      <sheetName val="33"/>
      <sheetName val="39"/>
      <sheetName val="40"/>
      <sheetName val="41"/>
      <sheetName val="42"/>
      <sheetName val="44"/>
      <sheetName val="46"/>
      <sheetName val="47"/>
      <sheetName val="48"/>
      <sheetName val="49"/>
      <sheetName val="50"/>
      <sheetName val="52"/>
      <sheetName val="54"/>
      <sheetName val="55"/>
      <sheetName val="56 "/>
      <sheetName val="اهم دلایل باری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109"/>
    </sheetNames>
    <sheetDataSet>
      <sheetData sheetId="0">
        <row r="2">
          <cell r="E2">
            <v>1392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4">
          <cell r="B24">
            <v>1400</v>
          </cell>
        </row>
      </sheetData>
      <sheetData sheetId="9">
        <row r="20">
          <cell r="B20">
            <v>1400</v>
          </cell>
        </row>
      </sheetData>
      <sheetData sheetId="10"/>
      <sheetData sheetId="11">
        <row r="21">
          <cell r="B21">
            <v>1400</v>
          </cell>
        </row>
      </sheetData>
      <sheetData sheetId="12"/>
      <sheetData sheetId="13"/>
      <sheetData sheetId="14">
        <row r="3">
          <cell r="B3">
            <v>1397</v>
          </cell>
        </row>
      </sheetData>
      <sheetData sheetId="15" refreshError="1"/>
      <sheetData sheetId="16"/>
      <sheetData sheetId="17">
        <row r="21">
          <cell r="B21">
            <v>1400</v>
          </cell>
        </row>
      </sheetData>
      <sheetData sheetId="18"/>
      <sheetData sheetId="19"/>
      <sheetData sheetId="20">
        <row r="22">
          <cell r="B22">
            <v>1400</v>
          </cell>
        </row>
      </sheetData>
      <sheetData sheetId="21"/>
      <sheetData sheetId="22"/>
      <sheetData sheetId="23"/>
      <sheetData sheetId="24">
        <row r="17">
          <cell r="B17">
            <v>6806416.9666689988</v>
          </cell>
        </row>
      </sheetData>
      <sheetData sheetId="25"/>
      <sheetData sheetId="26"/>
      <sheetData sheetId="27"/>
      <sheetData sheetId="28"/>
      <sheetData sheetId="29">
        <row r="16">
          <cell r="B16">
            <v>0</v>
          </cell>
        </row>
      </sheetData>
      <sheetData sheetId="30">
        <row r="16">
          <cell r="W16">
            <v>79192818.350728989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"/>
      <sheetName val="29"/>
      <sheetName val="33"/>
      <sheetName val="34"/>
      <sheetName val="35"/>
      <sheetName val="41"/>
      <sheetName val="42"/>
      <sheetName val="44"/>
      <sheetName val="46"/>
      <sheetName val="48"/>
      <sheetName val="50"/>
      <sheetName val="52"/>
      <sheetName val="54"/>
      <sheetName val="58"/>
    </sheetNames>
    <sheetDataSet>
      <sheetData sheetId="0"/>
      <sheetData sheetId="1"/>
      <sheetData sheetId="2"/>
      <sheetData sheetId="3"/>
      <sheetData sheetId="4">
        <row r="25">
          <cell r="A25" t="str">
            <v>بندرامام</v>
          </cell>
          <cell r="B25">
            <v>23877</v>
          </cell>
          <cell r="C25">
            <v>29634</v>
          </cell>
          <cell r="F25" t="str">
            <v>بندرامام</v>
          </cell>
          <cell r="G25">
            <v>22091</v>
          </cell>
          <cell r="H25">
            <v>35817</v>
          </cell>
          <cell r="K25" t="str">
            <v>بندرامام</v>
          </cell>
          <cell r="L25">
            <v>1318659</v>
          </cell>
          <cell r="M25">
            <v>1645879</v>
          </cell>
          <cell r="P25" t="str">
            <v>بندرامام</v>
          </cell>
          <cell r="Q25">
            <v>1378812</v>
          </cell>
          <cell r="R25">
            <v>2290321</v>
          </cell>
          <cell r="U25" t="str">
            <v>بندرامام</v>
          </cell>
          <cell r="V25">
            <v>1009453331</v>
          </cell>
          <cell r="W25">
            <v>1181220255</v>
          </cell>
          <cell r="Z25" t="str">
            <v>بندرامام</v>
          </cell>
          <cell r="AA25">
            <v>329465825</v>
          </cell>
          <cell r="AB25">
            <v>461165789</v>
          </cell>
        </row>
        <row r="26">
          <cell r="A26" t="str">
            <v>سربندر</v>
          </cell>
          <cell r="B26">
            <v>27</v>
          </cell>
          <cell r="C26">
            <v>0</v>
          </cell>
          <cell r="F26" t="str">
            <v>ماهشهر</v>
          </cell>
          <cell r="G26">
            <v>21013</v>
          </cell>
          <cell r="H26">
            <v>18115</v>
          </cell>
          <cell r="K26" t="str">
            <v>سربندر</v>
          </cell>
          <cell r="L26">
            <v>1418</v>
          </cell>
          <cell r="M26">
            <v>0</v>
          </cell>
          <cell r="P26" t="str">
            <v>ماهشهر</v>
          </cell>
          <cell r="Q26">
            <v>1158270</v>
          </cell>
          <cell r="R26">
            <v>998617</v>
          </cell>
          <cell r="U26" t="str">
            <v>سربندر</v>
          </cell>
          <cell r="V26">
            <v>1291241</v>
          </cell>
          <cell r="W26">
            <v>0</v>
          </cell>
          <cell r="Z26" t="str">
            <v>ماهشهر</v>
          </cell>
          <cell r="AA26">
            <v>796317496</v>
          </cell>
          <cell r="AB26">
            <v>687871994</v>
          </cell>
        </row>
        <row r="27">
          <cell r="A27" t="str">
            <v>اینچه برون</v>
          </cell>
          <cell r="B27">
            <v>337</v>
          </cell>
          <cell r="C27">
            <v>902</v>
          </cell>
          <cell r="F27" t="str">
            <v>اینچه برون</v>
          </cell>
          <cell r="G27">
            <v>318</v>
          </cell>
          <cell r="H27">
            <v>269</v>
          </cell>
          <cell r="K27" t="str">
            <v>اینچه برون</v>
          </cell>
          <cell r="L27">
            <v>22097</v>
          </cell>
          <cell r="M27">
            <v>58312</v>
          </cell>
          <cell r="P27" t="str">
            <v>اینچه برون</v>
          </cell>
          <cell r="Q27">
            <v>21275</v>
          </cell>
          <cell r="R27">
            <v>17479</v>
          </cell>
          <cell r="U27" t="str">
            <v>اینچه برون</v>
          </cell>
          <cell r="V27">
            <v>8335366</v>
          </cell>
          <cell r="W27">
            <v>16052101</v>
          </cell>
          <cell r="Z27" t="str">
            <v>اینچه برون</v>
          </cell>
          <cell r="AA27">
            <v>3191250</v>
          </cell>
          <cell r="AB27">
            <v>2621850</v>
          </cell>
        </row>
        <row r="28">
          <cell r="A28" t="str">
            <v>بندرعباس</v>
          </cell>
          <cell r="B28">
            <v>12311</v>
          </cell>
          <cell r="C28">
            <v>16269</v>
          </cell>
          <cell r="F28" t="str">
            <v>بندرعباس</v>
          </cell>
          <cell r="G28">
            <v>125735</v>
          </cell>
          <cell r="H28">
            <v>130087</v>
          </cell>
          <cell r="K28" t="str">
            <v>بندرعباس</v>
          </cell>
          <cell r="L28">
            <v>692686</v>
          </cell>
          <cell r="M28">
            <v>882145</v>
          </cell>
          <cell r="P28" t="str">
            <v>بندرعباس</v>
          </cell>
          <cell r="Q28">
            <v>7926245</v>
          </cell>
          <cell r="R28">
            <v>8245053</v>
          </cell>
          <cell r="U28" t="str">
            <v>بندرعباس</v>
          </cell>
          <cell r="V28">
            <v>896582647</v>
          </cell>
          <cell r="W28">
            <v>1109398926</v>
          </cell>
          <cell r="Z28" t="str">
            <v>بندرعباس</v>
          </cell>
          <cell r="AA28">
            <v>6857984243</v>
          </cell>
          <cell r="AB28">
            <v>7748074102</v>
          </cell>
        </row>
        <row r="29">
          <cell r="A29" t="str">
            <v>سرخس</v>
          </cell>
          <cell r="B29">
            <v>5355</v>
          </cell>
          <cell r="C29">
            <v>4743</v>
          </cell>
          <cell r="F29" t="str">
            <v>سرخس</v>
          </cell>
          <cell r="G29">
            <v>9080</v>
          </cell>
          <cell r="H29">
            <v>6681</v>
          </cell>
          <cell r="K29" t="str">
            <v>سرخس</v>
          </cell>
          <cell r="L29">
            <v>320583</v>
          </cell>
          <cell r="M29">
            <v>280484</v>
          </cell>
          <cell r="P29" t="str">
            <v>سرخس</v>
          </cell>
          <cell r="Q29">
            <v>538682</v>
          </cell>
          <cell r="R29">
            <v>386473</v>
          </cell>
          <cell r="U29" t="str">
            <v>سرخس</v>
          </cell>
          <cell r="V29">
            <v>69905678</v>
          </cell>
          <cell r="W29">
            <v>63580935</v>
          </cell>
          <cell r="Z29" t="str">
            <v>سرخس</v>
          </cell>
          <cell r="AA29">
            <v>222847772</v>
          </cell>
          <cell r="AB29">
            <v>176056734</v>
          </cell>
        </row>
        <row r="30">
          <cell r="A30" t="str">
            <v>رازي</v>
          </cell>
          <cell r="B30">
            <v>2419</v>
          </cell>
          <cell r="C30">
            <v>4101</v>
          </cell>
          <cell r="F30" t="str">
            <v>رازي</v>
          </cell>
          <cell r="G30">
            <v>1325</v>
          </cell>
          <cell r="H30">
            <v>662</v>
          </cell>
          <cell r="K30" t="str">
            <v>رازي</v>
          </cell>
          <cell r="L30">
            <v>97296</v>
          </cell>
          <cell r="M30">
            <v>178967</v>
          </cell>
          <cell r="P30" t="str">
            <v>رازي</v>
          </cell>
          <cell r="Q30">
            <v>54790</v>
          </cell>
          <cell r="R30">
            <v>24889</v>
          </cell>
          <cell r="U30" t="str">
            <v>رازي</v>
          </cell>
          <cell r="V30">
            <v>67674544</v>
          </cell>
          <cell r="W30">
            <v>123941037</v>
          </cell>
          <cell r="Z30" t="str">
            <v>رازي</v>
          </cell>
          <cell r="AA30">
            <v>14587548</v>
          </cell>
          <cell r="AB30">
            <v>5627666</v>
          </cell>
        </row>
        <row r="31">
          <cell r="A31" t="str">
            <v>میرجاوه</v>
          </cell>
          <cell r="B31">
            <v>336</v>
          </cell>
          <cell r="C31">
            <v>392</v>
          </cell>
          <cell r="F31" t="str">
            <v>ميرجاوه</v>
          </cell>
          <cell r="G31">
            <v>718</v>
          </cell>
          <cell r="H31">
            <v>1442</v>
          </cell>
          <cell r="K31" t="str">
            <v>میرجاوه</v>
          </cell>
          <cell r="L31">
            <v>7998</v>
          </cell>
          <cell r="M31">
            <v>9175</v>
          </cell>
          <cell r="P31" t="str">
            <v>ميرجاوه</v>
          </cell>
          <cell r="Q31">
            <v>17207</v>
          </cell>
          <cell r="R31">
            <v>33216</v>
          </cell>
          <cell r="U31" t="str">
            <v>میرجاوه</v>
          </cell>
          <cell r="V31">
            <v>1199700</v>
          </cell>
          <cell r="W31">
            <v>1376250</v>
          </cell>
          <cell r="Z31" t="str">
            <v>ميرجاوه</v>
          </cell>
          <cell r="AA31">
            <v>2581050</v>
          </cell>
          <cell r="AB31">
            <v>4982400</v>
          </cell>
        </row>
        <row r="32">
          <cell r="A32" t="str">
            <v>بندرامیرآباد</v>
          </cell>
          <cell r="B32">
            <v>197</v>
          </cell>
          <cell r="C32">
            <v>307</v>
          </cell>
          <cell r="F32" t="str">
            <v>بندرامیرآباد</v>
          </cell>
          <cell r="G32">
            <v>0</v>
          </cell>
          <cell r="H32">
            <v>0</v>
          </cell>
          <cell r="K32" t="str">
            <v>بندر امیرآباد</v>
          </cell>
          <cell r="L32">
            <v>10697</v>
          </cell>
          <cell r="M32">
            <v>16506</v>
          </cell>
          <cell r="P32" t="str">
            <v>بندراميرآباد</v>
          </cell>
          <cell r="Q32">
            <v>0</v>
          </cell>
          <cell r="R32">
            <v>0</v>
          </cell>
          <cell r="U32" t="str">
            <v>بندراميرآباد</v>
          </cell>
          <cell r="V32">
            <v>7811012</v>
          </cell>
          <cell r="W32">
            <v>7879420</v>
          </cell>
          <cell r="Z32" t="str">
            <v>بندراميرآباد</v>
          </cell>
          <cell r="AA32">
            <v>0</v>
          </cell>
          <cell r="AB32">
            <v>0</v>
          </cell>
        </row>
        <row r="33">
          <cell r="A33" t="str">
            <v>خرمشهر</v>
          </cell>
          <cell r="B33">
            <v>0</v>
          </cell>
          <cell r="C33">
            <v>0</v>
          </cell>
          <cell r="F33" t="str">
            <v>خرمشهر</v>
          </cell>
          <cell r="G33">
            <v>67</v>
          </cell>
          <cell r="H33">
            <v>0</v>
          </cell>
          <cell r="K33" t="str">
            <v>خرمشهر</v>
          </cell>
          <cell r="L33">
            <v>0</v>
          </cell>
          <cell r="M33">
            <v>0</v>
          </cell>
          <cell r="P33" t="str">
            <v>خرمشهر</v>
          </cell>
          <cell r="Q33">
            <v>2976</v>
          </cell>
          <cell r="U33" t="str">
            <v>خرمشهر</v>
          </cell>
          <cell r="V33">
            <v>0</v>
          </cell>
          <cell r="W33">
            <v>0</v>
          </cell>
          <cell r="Z33" t="str">
            <v>خرمشهر</v>
          </cell>
          <cell r="AA33">
            <v>4494125</v>
          </cell>
          <cell r="AB3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64"/>
      <sheetName val="p65"/>
      <sheetName val="p66"/>
      <sheetName val="p67"/>
      <sheetName val="p68"/>
      <sheetName val="p69"/>
      <sheetName val="p70"/>
      <sheetName val="p71"/>
      <sheetName val="p72"/>
      <sheetName val="p73"/>
      <sheetName val="p74"/>
      <sheetName val="اهم دلایل مسافریp77"/>
      <sheetName val="80j"/>
      <sheetName val="81j"/>
      <sheetName val="82j"/>
      <sheetName val="83j"/>
      <sheetName val="84j"/>
      <sheetName val="85j"/>
      <sheetName val="86j"/>
      <sheetName val="87j"/>
      <sheetName val="88j"/>
      <sheetName val="882j"/>
      <sheetName val="89j"/>
      <sheetName val="90j"/>
      <sheetName val="91j"/>
      <sheetName val="92j"/>
      <sheetName val="93j"/>
      <sheetName val="94j"/>
      <sheetName val="95j (2)"/>
      <sheetName val="96j"/>
      <sheetName val="97j"/>
      <sheetName val="98j"/>
      <sheetName val="100-103j"/>
      <sheetName val="104j"/>
      <sheetName val="105j"/>
      <sheetName val="106j"/>
      <sheetName val="107j"/>
      <sheetName val="130j"/>
      <sheetName val="131j"/>
      <sheetName val="132"/>
      <sheetName val="132j"/>
      <sheetName val="133j"/>
      <sheetName val="134j"/>
      <sheetName val="135j"/>
      <sheetName val="136j"/>
      <sheetName val="137j"/>
      <sheetName val="138j"/>
      <sheetName val="95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>
        <row r="81">
          <cell r="AD81" t="str">
            <v>0-10</v>
          </cell>
        </row>
        <row r="96">
          <cell r="Z96" t="str">
            <v>مركز</v>
          </cell>
        </row>
        <row r="97">
          <cell r="Z97" t="str">
            <v>جنوب</v>
          </cell>
        </row>
        <row r="98">
          <cell r="Z98" t="str">
            <v>لرستان</v>
          </cell>
        </row>
        <row r="99">
          <cell r="Z99" t="str">
            <v>اراك</v>
          </cell>
        </row>
        <row r="100">
          <cell r="Z100" t="str">
            <v>زاگرس</v>
          </cell>
        </row>
        <row r="101">
          <cell r="Z101" t="str">
            <v>تهران</v>
          </cell>
        </row>
        <row r="102">
          <cell r="Z102" t="str">
            <v>شمال</v>
          </cell>
        </row>
        <row r="103">
          <cell r="Z103" t="str">
            <v>شمالشرق1</v>
          </cell>
        </row>
        <row r="104">
          <cell r="Z104" t="str">
            <v>خراسان</v>
          </cell>
        </row>
        <row r="105">
          <cell r="Z105" t="str">
            <v>شمالغرب</v>
          </cell>
        </row>
        <row r="106">
          <cell r="Z106" t="str">
            <v>آذربايجان</v>
          </cell>
        </row>
        <row r="107">
          <cell r="Z107" t="str">
            <v>اصفهان</v>
          </cell>
        </row>
        <row r="108">
          <cell r="Z108" t="str">
            <v>شمالشرق2</v>
          </cell>
        </row>
        <row r="109">
          <cell r="Z109" t="str">
            <v xml:space="preserve">قم </v>
          </cell>
        </row>
        <row r="110">
          <cell r="Z110" t="str">
            <v xml:space="preserve">یزد </v>
          </cell>
        </row>
        <row r="111">
          <cell r="Z111" t="str">
            <v xml:space="preserve">هرمزگان </v>
          </cell>
        </row>
        <row r="112">
          <cell r="Z112" t="str">
            <v>شرق</v>
          </cell>
        </row>
        <row r="113">
          <cell r="Z113" t="str">
            <v>كرمان</v>
          </cell>
        </row>
        <row r="114">
          <cell r="Z114" t="str">
            <v>فارس</v>
          </cell>
        </row>
        <row r="115">
          <cell r="Z115" t="str">
            <v>جنوبشرق</v>
          </cell>
        </row>
        <row r="116">
          <cell r="Z116" t="str">
            <v>غرب</v>
          </cell>
        </row>
        <row r="117">
          <cell r="Z117" t="str">
            <v>شمال2</v>
          </cell>
        </row>
        <row r="143">
          <cell r="W143" t="str">
            <v>كارشناسي ارشدو بالاتر</v>
          </cell>
          <cell r="X143" t="str">
            <v>كارشناسي</v>
          </cell>
          <cell r="Y143" t="str">
            <v>كارداني</v>
          </cell>
          <cell r="Z143" t="str">
            <v>ديپلم</v>
          </cell>
          <cell r="AA143" t="str">
            <v>سوم راهنمايي</v>
          </cell>
          <cell r="AB143" t="str">
            <v>پایان ابتدایی و کمتر</v>
          </cell>
        </row>
        <row r="148">
          <cell r="V148" t="str">
            <v>رسمی</v>
          </cell>
          <cell r="W148">
            <v>386</v>
          </cell>
          <cell r="X148">
            <v>1122</v>
          </cell>
          <cell r="Y148">
            <v>647</v>
          </cell>
          <cell r="Z148">
            <v>916</v>
          </cell>
          <cell r="AA148">
            <v>68</v>
          </cell>
          <cell r="AB148">
            <v>6</v>
          </cell>
        </row>
        <row r="149">
          <cell r="V149" t="str">
            <v>غيررسمي</v>
          </cell>
          <cell r="W149">
            <v>882</v>
          </cell>
          <cell r="X149">
            <v>1483</v>
          </cell>
          <cell r="Y149">
            <v>752</v>
          </cell>
          <cell r="Z149">
            <v>872</v>
          </cell>
          <cell r="AA149">
            <v>56</v>
          </cell>
          <cell r="AB149">
            <v>17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"/>
      <sheetName val="20"/>
      <sheetName val="22"/>
      <sheetName val="24"/>
      <sheetName val="27"/>
      <sheetName val="30"/>
      <sheetName val="31"/>
      <sheetName val="32"/>
      <sheetName val="33"/>
      <sheetName val="39"/>
      <sheetName val="40"/>
      <sheetName val="41"/>
      <sheetName val="42"/>
      <sheetName val="44"/>
      <sheetName val="46"/>
      <sheetName val="47"/>
      <sheetName val="48"/>
      <sheetName val="49"/>
      <sheetName val="50"/>
      <sheetName val="52"/>
      <sheetName val="54"/>
      <sheetName val="55"/>
      <sheetName val="56 "/>
      <sheetName val="اهم دلایل باری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109"/>
      <sheetName val="Sheet1"/>
      <sheetName val="Char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36">
          <cell r="E36">
            <v>0</v>
          </cell>
        </row>
      </sheetData>
      <sheetData sheetId="29"/>
      <sheetData sheetId="30">
        <row r="17">
          <cell r="U17">
            <v>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</sheetNames>
    <sheetDataSet>
      <sheetData sheetId="0">
        <row r="2">
          <cell r="H2">
            <v>22089629046017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</sheetNames>
    <sheetDataSet>
      <sheetData sheetId="0">
        <row r="3">
          <cell r="G3">
            <v>34603806843316</v>
          </cell>
        </row>
        <row r="5">
          <cell r="G5">
            <v>2320760380037</v>
          </cell>
        </row>
        <row r="7">
          <cell r="G7">
            <v>1097474012044</v>
          </cell>
        </row>
        <row r="8">
          <cell r="F8">
            <v>1313849233616</v>
          </cell>
        </row>
        <row r="11">
          <cell r="F11">
            <v>301941715510</v>
          </cell>
        </row>
        <row r="13">
          <cell r="F13">
            <v>7494046092</v>
          </cell>
        </row>
        <row r="16">
          <cell r="F16">
            <v>15138467832</v>
          </cell>
        </row>
        <row r="17">
          <cell r="F17">
            <v>31180689205</v>
          </cell>
        </row>
        <row r="20">
          <cell r="F20">
            <v>4264387516</v>
          </cell>
        </row>
        <row r="22">
          <cell r="F22">
            <v>54244919757</v>
          </cell>
        </row>
        <row r="23">
          <cell r="F23">
            <v>73151366424</v>
          </cell>
        </row>
        <row r="26">
          <cell r="G26">
            <v>195831285661</v>
          </cell>
        </row>
        <row r="28">
          <cell r="F28">
            <v>73780868483</v>
          </cell>
        </row>
        <row r="32">
          <cell r="F32">
            <v>531810200287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</sheetNames>
    <sheetDataSet>
      <sheetData sheetId="0" refreshError="1">
        <row r="2">
          <cell r="E2">
            <v>882922295185</v>
          </cell>
        </row>
        <row r="3">
          <cell r="E3">
            <v>233855003272</v>
          </cell>
        </row>
        <row r="5">
          <cell r="E5">
            <v>2145175153928</v>
          </cell>
        </row>
        <row r="21">
          <cell r="E21">
            <v>432588897185</v>
          </cell>
        </row>
        <row r="37">
          <cell r="E37">
            <v>12987487128791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A31"/>
  <sheetViews>
    <sheetView rightToLeft="1" view="pageBreakPreview" zoomScaleNormal="100" zoomScaleSheetLayoutView="100" workbookViewId="0">
      <selection activeCell="J23" sqref="J23"/>
    </sheetView>
  </sheetViews>
  <sheetFormatPr defaultColWidth="7" defaultRowHeight="15.75" x14ac:dyDescent="0.2"/>
  <cols>
    <col min="1" max="1" width="4.375" style="44" customWidth="1"/>
    <col min="2" max="2" width="23.75" style="44" customWidth="1"/>
    <col min="3" max="3" width="10.875" style="44" customWidth="1"/>
    <col min="4" max="4" width="14" style="44" customWidth="1"/>
    <col min="5" max="14" width="10" style="44" customWidth="1"/>
    <col min="15" max="15" width="12.125" style="44" bestFit="1" customWidth="1"/>
    <col min="16" max="16" width="23.375" style="44" customWidth="1"/>
    <col min="17" max="18" width="7" style="44" customWidth="1"/>
    <col min="19" max="19" width="7.125" style="44" bestFit="1" customWidth="1"/>
    <col min="20" max="16384" width="7" style="44"/>
  </cols>
  <sheetData>
    <row r="1" spans="1:27" ht="40.5" customHeight="1" thickBot="1" x14ac:dyDescent="0.25">
      <c r="B1" s="45"/>
      <c r="C1" s="45"/>
      <c r="D1" s="45"/>
      <c r="E1" s="46" t="s">
        <v>117</v>
      </c>
      <c r="F1" s="45" t="s">
        <v>1851</v>
      </c>
      <c r="G1" s="45"/>
      <c r="H1" s="45"/>
      <c r="I1" s="45"/>
      <c r="J1" s="45"/>
      <c r="K1" s="45"/>
      <c r="L1" s="45"/>
      <c r="M1" s="45"/>
      <c r="N1" s="45"/>
    </row>
    <row r="2" spans="1:27" ht="40.5" customHeight="1" thickBot="1" x14ac:dyDescent="0.25">
      <c r="A2" s="2682" t="s">
        <v>118</v>
      </c>
      <c r="B2" s="2683"/>
      <c r="C2" s="2683"/>
      <c r="D2" s="47" t="s">
        <v>119</v>
      </c>
      <c r="E2" s="48">
        <v>1394</v>
      </c>
      <c r="F2" s="49">
        <v>1395</v>
      </c>
      <c r="G2" s="49">
        <v>1396</v>
      </c>
      <c r="H2" s="49">
        <v>1397</v>
      </c>
      <c r="I2" s="50">
        <v>1398</v>
      </c>
      <c r="J2" s="50">
        <v>1399</v>
      </c>
      <c r="K2" s="50">
        <v>1400</v>
      </c>
      <c r="L2" s="50">
        <v>1401</v>
      </c>
      <c r="M2" s="50">
        <v>1402</v>
      </c>
      <c r="N2" s="50">
        <v>1403</v>
      </c>
    </row>
    <row r="3" spans="1:27" ht="22.5" customHeight="1" x14ac:dyDescent="0.2">
      <c r="A3" s="2684" t="s">
        <v>120</v>
      </c>
      <c r="B3" s="2685"/>
      <c r="C3" s="2686"/>
      <c r="D3" s="51" t="s">
        <v>121</v>
      </c>
      <c r="E3" s="52">
        <v>10459</v>
      </c>
      <c r="F3" s="52">
        <v>10475</v>
      </c>
      <c r="G3" s="53">
        <v>11061</v>
      </c>
      <c r="H3" s="53">
        <v>11461</v>
      </c>
      <c r="I3" s="54">
        <v>11659</v>
      </c>
      <c r="J3" s="55">
        <v>11728</v>
      </c>
      <c r="K3" s="55">
        <v>11798</v>
      </c>
      <c r="L3" s="56">
        <v>11928.5</v>
      </c>
      <c r="M3" s="54">
        <v>12303</v>
      </c>
      <c r="N3" s="55">
        <v>12454</v>
      </c>
    </row>
    <row r="4" spans="1:27" ht="22.5" customHeight="1" x14ac:dyDescent="0.2">
      <c r="A4" s="2666" t="s">
        <v>122</v>
      </c>
      <c r="B4" s="2667"/>
      <c r="C4" s="2668"/>
      <c r="D4" s="57" t="s">
        <v>123</v>
      </c>
      <c r="E4" s="58">
        <v>9216</v>
      </c>
      <c r="F4" s="58">
        <v>9022</v>
      </c>
      <c r="G4" s="59">
        <v>8812</v>
      </c>
      <c r="H4" s="59">
        <v>8403</v>
      </c>
      <c r="I4" s="1381">
        <v>7958</v>
      </c>
      <c r="J4" s="60">
        <v>7598</v>
      </c>
      <c r="K4" s="60">
        <v>7207</v>
      </c>
      <c r="L4" s="61">
        <v>6809</v>
      </c>
      <c r="M4" s="1381">
        <v>6592</v>
      </c>
      <c r="N4" s="2342">
        <v>6758</v>
      </c>
    </row>
    <row r="5" spans="1:27" ht="22.5" customHeight="1" x14ac:dyDescent="0.2">
      <c r="A5" s="2687" t="s">
        <v>124</v>
      </c>
      <c r="B5" s="2688"/>
      <c r="C5" s="2689"/>
      <c r="D5" s="57" t="s">
        <v>123</v>
      </c>
      <c r="E5" s="58" t="s">
        <v>125</v>
      </c>
      <c r="F5" s="58">
        <v>4251</v>
      </c>
      <c r="G5" s="58">
        <v>7786</v>
      </c>
      <c r="H5" s="59">
        <v>10803</v>
      </c>
      <c r="I5" s="1381">
        <v>11533</v>
      </c>
      <c r="J5" s="60">
        <v>14312</v>
      </c>
      <c r="K5" s="60">
        <v>14616</v>
      </c>
      <c r="L5" s="61">
        <v>15373</v>
      </c>
      <c r="M5" s="1381">
        <v>15807</v>
      </c>
      <c r="N5" s="2342">
        <v>15479</v>
      </c>
    </row>
    <row r="6" spans="1:27" ht="22.5" customHeight="1" x14ac:dyDescent="0.2">
      <c r="A6" s="2666" t="s">
        <v>126</v>
      </c>
      <c r="B6" s="2667"/>
      <c r="C6" s="2668"/>
      <c r="D6" s="57" t="s">
        <v>127</v>
      </c>
      <c r="E6" s="58">
        <v>21651</v>
      </c>
      <c r="F6" s="58">
        <v>22678</v>
      </c>
      <c r="G6" s="59">
        <v>23146</v>
      </c>
      <c r="H6" s="59">
        <v>24310</v>
      </c>
      <c r="I6" s="1381">
        <v>24394</v>
      </c>
      <c r="J6" s="60">
        <v>24249</v>
      </c>
      <c r="K6" s="60">
        <v>26309</v>
      </c>
      <c r="L6" s="61">
        <v>27685</v>
      </c>
      <c r="M6" s="1381">
        <v>27341</v>
      </c>
      <c r="N6" s="60">
        <v>26145</v>
      </c>
    </row>
    <row r="7" spans="1:27" ht="22.5" customHeight="1" x14ac:dyDescent="0.2">
      <c r="A7" s="2666" t="s">
        <v>128</v>
      </c>
      <c r="B7" s="2667"/>
      <c r="C7" s="2668"/>
      <c r="D7" s="57" t="s">
        <v>127</v>
      </c>
      <c r="E7" s="58">
        <v>22803</v>
      </c>
      <c r="F7" s="58">
        <v>24089</v>
      </c>
      <c r="G7" s="59">
        <v>24546</v>
      </c>
      <c r="H7" s="59">
        <v>25398</v>
      </c>
      <c r="I7" s="1381">
        <v>26110</v>
      </c>
      <c r="J7" s="60">
        <v>26976</v>
      </c>
      <c r="K7" s="60">
        <v>28002</v>
      </c>
      <c r="L7" s="61">
        <v>29925</v>
      </c>
      <c r="M7" s="1381">
        <v>30891</v>
      </c>
      <c r="N7" s="60">
        <v>31121</v>
      </c>
    </row>
    <row r="8" spans="1:27" ht="22.5" customHeight="1" x14ac:dyDescent="0.2">
      <c r="A8" s="2666" t="s">
        <v>129</v>
      </c>
      <c r="B8" s="2667"/>
      <c r="C8" s="2668"/>
      <c r="D8" s="57" t="s">
        <v>127</v>
      </c>
      <c r="E8" s="58">
        <v>1430</v>
      </c>
      <c r="F8" s="58">
        <v>1502</v>
      </c>
      <c r="G8" s="59">
        <v>1185.8330000000001</v>
      </c>
      <c r="H8" s="59">
        <v>1275</v>
      </c>
      <c r="I8" s="1381">
        <v>1363</v>
      </c>
      <c r="J8" s="60">
        <v>1226</v>
      </c>
      <c r="K8" s="60">
        <v>1335</v>
      </c>
      <c r="L8" s="60">
        <v>1341</v>
      </c>
      <c r="M8" s="2286">
        <v>1411</v>
      </c>
      <c r="N8" s="2288">
        <v>1297</v>
      </c>
    </row>
    <row r="9" spans="1:27" ht="22.5" customHeight="1" x14ac:dyDescent="0.2">
      <c r="A9" s="2666" t="s">
        <v>130</v>
      </c>
      <c r="B9" s="2667"/>
      <c r="C9" s="2668"/>
      <c r="D9" s="57" t="s">
        <v>127</v>
      </c>
      <c r="E9" s="58">
        <v>1665</v>
      </c>
      <c r="F9" s="58">
        <v>1810</v>
      </c>
      <c r="G9" s="59">
        <v>1449.62</v>
      </c>
      <c r="H9" s="59">
        <v>1550</v>
      </c>
      <c r="I9" s="1381">
        <v>1653</v>
      </c>
      <c r="J9" s="60">
        <v>1432</v>
      </c>
      <c r="K9" s="60">
        <v>1536</v>
      </c>
      <c r="L9" s="60">
        <v>1506</v>
      </c>
      <c r="M9" s="2286">
        <v>1560</v>
      </c>
      <c r="N9" s="2288">
        <v>1429</v>
      </c>
      <c r="P9" s="2690"/>
      <c r="Q9" s="2691"/>
    </row>
    <row r="10" spans="1:27" ht="22.5" customHeight="1" thickBot="1" x14ac:dyDescent="0.25">
      <c r="A10" s="2692" t="s">
        <v>131</v>
      </c>
      <c r="B10" s="2693"/>
      <c r="C10" s="2694"/>
      <c r="D10" s="57" t="s">
        <v>127</v>
      </c>
      <c r="E10" s="52">
        <v>518</v>
      </c>
      <c r="F10" s="52">
        <v>550</v>
      </c>
      <c r="G10" s="53">
        <v>569</v>
      </c>
      <c r="H10" s="53">
        <v>566</v>
      </c>
      <c r="I10" s="53">
        <v>573</v>
      </c>
      <c r="J10" s="1382">
        <v>543</v>
      </c>
      <c r="K10" s="1380">
        <v>523</v>
      </c>
      <c r="L10" s="1380">
        <v>526</v>
      </c>
      <c r="M10" s="2287">
        <v>523</v>
      </c>
      <c r="N10" s="2289">
        <v>524</v>
      </c>
      <c r="P10" s="1379"/>
      <c r="Q10" s="1379"/>
    </row>
    <row r="11" spans="1:27" ht="22.5" customHeight="1" x14ac:dyDescent="0.2">
      <c r="A11" s="2684" t="s">
        <v>132</v>
      </c>
      <c r="B11" s="2685"/>
      <c r="C11" s="2686"/>
      <c r="D11" s="51" t="s">
        <v>133</v>
      </c>
      <c r="E11" s="67">
        <v>24452.602999999999</v>
      </c>
      <c r="F11" s="67">
        <v>23041.531999999999</v>
      </c>
      <c r="G11" s="54">
        <v>24480</v>
      </c>
      <c r="H11" s="54">
        <v>28093.526000000002</v>
      </c>
      <c r="I11" s="54">
        <v>28598.612000000001</v>
      </c>
      <c r="J11" s="55">
        <v>11103.168</v>
      </c>
      <c r="K11" s="56">
        <v>20732.585999999999</v>
      </c>
      <c r="L11" s="56">
        <v>29665.857</v>
      </c>
      <c r="M11" s="56">
        <v>31784.127</v>
      </c>
      <c r="N11" s="2285">
        <v>30140.984</v>
      </c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</row>
    <row r="12" spans="1:27" ht="22.5" customHeight="1" x14ac:dyDescent="0.2">
      <c r="A12" s="2666" t="s">
        <v>134</v>
      </c>
      <c r="B12" s="2667"/>
      <c r="C12" s="2668"/>
      <c r="D12" s="57" t="s">
        <v>135</v>
      </c>
      <c r="E12" s="58">
        <v>14937.81523</v>
      </c>
      <c r="F12" s="58">
        <v>12982.049070999999</v>
      </c>
      <c r="G12" s="59">
        <v>13272</v>
      </c>
      <c r="H12" s="59">
        <v>15239.3252989999</v>
      </c>
      <c r="I12" s="1381">
        <v>14889.87851</v>
      </c>
      <c r="J12" s="60">
        <v>5183.448249</v>
      </c>
      <c r="K12" s="61">
        <v>11231.377629999966</v>
      </c>
      <c r="L12" s="61">
        <v>15906.018206999999</v>
      </c>
      <c r="M12" s="61">
        <v>16594.068393000001</v>
      </c>
      <c r="N12" s="61">
        <v>15358.520295000022</v>
      </c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</row>
    <row r="13" spans="1:27" ht="22.5" customHeight="1" x14ac:dyDescent="0.2">
      <c r="A13" s="2666" t="s">
        <v>136</v>
      </c>
      <c r="B13" s="2667"/>
      <c r="C13" s="2668"/>
      <c r="D13" s="57" t="s">
        <v>137</v>
      </c>
      <c r="E13" s="58">
        <v>35647</v>
      </c>
      <c r="F13" s="58">
        <v>40282.400999999998</v>
      </c>
      <c r="G13" s="58">
        <v>46766</v>
      </c>
      <c r="H13" s="58">
        <v>50478.47</v>
      </c>
      <c r="I13" s="1378">
        <v>46976.127999999997</v>
      </c>
      <c r="J13" s="1377">
        <v>50564.248</v>
      </c>
      <c r="K13" s="68">
        <v>46912.447</v>
      </c>
      <c r="L13" s="68">
        <v>44438.862999999998</v>
      </c>
      <c r="M13" s="68">
        <f>42977185/1000</f>
        <v>42977.184999999998</v>
      </c>
      <c r="N13" s="68">
        <f>40631501/1000</f>
        <v>40631.500999999997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</row>
    <row r="14" spans="1:27" ht="22.5" customHeight="1" x14ac:dyDescent="0.2">
      <c r="A14" s="2666" t="s">
        <v>138</v>
      </c>
      <c r="B14" s="2667"/>
      <c r="C14" s="2668"/>
      <c r="D14" s="57" t="s">
        <v>139</v>
      </c>
      <c r="E14" s="58">
        <v>25014</v>
      </c>
      <c r="F14" s="58">
        <v>27242.582999999999</v>
      </c>
      <c r="G14" s="58">
        <v>30299</v>
      </c>
      <c r="H14" s="58">
        <v>34859.031986000002</v>
      </c>
      <c r="I14" s="1378">
        <v>33645.702255999997</v>
      </c>
      <c r="J14" s="1377">
        <v>35962.951547999997</v>
      </c>
      <c r="K14" s="68">
        <v>32920.00923499999</v>
      </c>
      <c r="L14" s="68">
        <v>30249</v>
      </c>
      <c r="M14" s="68">
        <f>29135634424/1000000</f>
        <v>29135.634424</v>
      </c>
      <c r="N14" s="68">
        <f>28732815881/1000000</f>
        <v>28732.815880999999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</row>
    <row r="15" spans="1:27" ht="22.5" customHeight="1" x14ac:dyDescent="0.2">
      <c r="A15" s="2666" t="s">
        <v>140</v>
      </c>
      <c r="B15" s="2667"/>
      <c r="C15" s="2668"/>
      <c r="D15" s="57" t="s">
        <v>137</v>
      </c>
      <c r="E15" s="58">
        <v>399246.27399999998</v>
      </c>
      <c r="F15" s="58">
        <v>474984.31800000003</v>
      </c>
      <c r="G15" s="58">
        <v>509396.49200000003</v>
      </c>
      <c r="H15" s="58">
        <v>573181.41399999999</v>
      </c>
      <c r="I15" s="1378">
        <v>559376.93599999999</v>
      </c>
      <c r="J15" s="1377">
        <v>525436.55200000003</v>
      </c>
      <c r="K15" s="68">
        <v>534673.45799999998</v>
      </c>
      <c r="L15" s="68">
        <v>520178</v>
      </c>
      <c r="M15" s="68">
        <f>408973466/1000</f>
        <v>408973.46600000001</v>
      </c>
      <c r="N15" s="68">
        <f>397297208/1000</f>
        <v>397297.20799999998</v>
      </c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</row>
    <row r="16" spans="1:27" ht="22.5" customHeight="1" x14ac:dyDescent="0.2">
      <c r="A16" s="2666" t="s">
        <v>141</v>
      </c>
      <c r="B16" s="2667"/>
      <c r="C16" s="2668"/>
      <c r="D16" s="57" t="s">
        <v>139</v>
      </c>
      <c r="E16" s="58">
        <v>62786.584598000001</v>
      </c>
      <c r="F16" s="58">
        <v>68336.154727000001</v>
      </c>
      <c r="G16" s="58">
        <v>73101.564278000005</v>
      </c>
      <c r="H16" s="58">
        <v>80905.072042</v>
      </c>
      <c r="I16" s="1378">
        <v>80658.982592999993</v>
      </c>
      <c r="J16" s="1377">
        <v>76781.183629000006</v>
      </c>
      <c r="K16" s="69">
        <v>79305.392743000004</v>
      </c>
      <c r="L16" s="70">
        <v>50562.144826790005</v>
      </c>
      <c r="M16" s="70">
        <f>51709764358/1000000</f>
        <v>51709.764358</v>
      </c>
      <c r="N16" s="70">
        <f>49568237292/1000000</f>
        <v>49568.237291999998</v>
      </c>
      <c r="O16" s="71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</row>
    <row r="17" spans="1:27" ht="22.5" customHeight="1" thickBot="1" x14ac:dyDescent="0.25">
      <c r="A17" s="2697" t="s">
        <v>142</v>
      </c>
      <c r="B17" s="2698"/>
      <c r="C17" s="2699"/>
      <c r="D17" s="72" t="s">
        <v>127</v>
      </c>
      <c r="E17" s="73">
        <v>571710</v>
      </c>
      <c r="F17" s="73">
        <v>643166</v>
      </c>
      <c r="G17" s="73">
        <v>742316</v>
      </c>
      <c r="H17" s="73">
        <v>788521</v>
      </c>
      <c r="I17" s="73">
        <v>732177</v>
      </c>
      <c r="J17" s="1383">
        <v>808321</v>
      </c>
      <c r="K17" s="70">
        <v>770296</v>
      </c>
      <c r="L17" s="70">
        <v>725144</v>
      </c>
      <c r="M17" s="70">
        <v>689037</v>
      </c>
      <c r="N17" s="70">
        <v>664313</v>
      </c>
      <c r="O17" s="74"/>
      <c r="P17" s="75"/>
      <c r="Q17" s="75"/>
      <c r="R17" s="75"/>
      <c r="S17" s="66"/>
      <c r="T17" s="66"/>
      <c r="U17" s="66"/>
      <c r="V17" s="66"/>
      <c r="W17" s="66"/>
      <c r="X17" s="66"/>
      <c r="Y17" s="66"/>
      <c r="Z17" s="66"/>
      <c r="AA17" s="66"/>
    </row>
    <row r="18" spans="1:27" ht="22.5" customHeight="1" x14ac:dyDescent="0.2">
      <c r="A18" s="2684" t="s">
        <v>143</v>
      </c>
      <c r="B18" s="2685"/>
      <c r="C18" s="2686"/>
      <c r="D18" s="51" t="s">
        <v>137</v>
      </c>
      <c r="E18" s="67">
        <v>23634</v>
      </c>
      <c r="F18" s="67">
        <v>25570.758999999998</v>
      </c>
      <c r="G18" s="67">
        <v>30112.524999999998</v>
      </c>
      <c r="H18" s="67">
        <v>34061.845999999998</v>
      </c>
      <c r="I18" s="76">
        <v>32818.543999999994</v>
      </c>
      <c r="J18" s="76">
        <v>36996.665000000001</v>
      </c>
      <c r="K18" s="76">
        <v>31824.460999999996</v>
      </c>
      <c r="L18" s="76">
        <f>L13-L19-L20-L21</f>
        <v>40787.232999999993</v>
      </c>
      <c r="M18" s="76">
        <f>M13-M19-M20-M21</f>
        <v>39067.233999999989</v>
      </c>
      <c r="N18" s="76">
        <f>N13-N19-N20-N21</f>
        <v>35525.189999999988</v>
      </c>
      <c r="O18" s="75"/>
      <c r="P18" s="75"/>
      <c r="Q18" s="75"/>
      <c r="R18" s="75"/>
      <c r="S18" s="66"/>
      <c r="T18" s="66"/>
      <c r="U18" s="66"/>
      <c r="V18" s="66"/>
      <c r="W18" s="66"/>
      <c r="X18" s="66"/>
      <c r="Y18" s="66"/>
      <c r="Z18" s="66"/>
      <c r="AA18" s="66"/>
    </row>
    <row r="19" spans="1:27" ht="22.5" customHeight="1" x14ac:dyDescent="0.2">
      <c r="A19" s="2666" t="s">
        <v>144</v>
      </c>
      <c r="B19" s="2667"/>
      <c r="C19" s="2668"/>
      <c r="D19" s="57" t="s">
        <v>137</v>
      </c>
      <c r="E19" s="58">
        <v>3233</v>
      </c>
      <c r="F19" s="58">
        <v>2471</v>
      </c>
      <c r="G19" s="58">
        <v>3071.4679999999998</v>
      </c>
      <c r="H19" s="58">
        <v>2711</v>
      </c>
      <c r="I19" s="68">
        <v>2444.5839999999998</v>
      </c>
      <c r="J19" s="68">
        <v>3618.105</v>
      </c>
      <c r="K19" s="68">
        <v>3606.5630000000001</v>
      </c>
      <c r="L19" s="68">
        <v>440.76600000000002</v>
      </c>
      <c r="M19" s="68">
        <v>499.28500000000003</v>
      </c>
      <c r="N19" s="68">
        <f>541995/1000</f>
        <v>541.995</v>
      </c>
      <c r="O19" s="75"/>
      <c r="P19" s="75"/>
      <c r="Q19" s="75"/>
      <c r="R19" s="75"/>
      <c r="S19" s="66"/>
      <c r="T19" s="66"/>
      <c r="U19" s="66"/>
      <c r="V19" s="66"/>
      <c r="W19" s="66"/>
      <c r="X19" s="66"/>
      <c r="Y19" s="66"/>
      <c r="Z19" s="66"/>
      <c r="AA19" s="66"/>
    </row>
    <row r="20" spans="1:27" ht="22.5" customHeight="1" x14ac:dyDescent="0.2">
      <c r="A20" s="2666" t="s">
        <v>145</v>
      </c>
      <c r="B20" s="2667"/>
      <c r="C20" s="2668"/>
      <c r="D20" s="57" t="s">
        <v>137</v>
      </c>
      <c r="E20" s="58">
        <v>7345</v>
      </c>
      <c r="F20" s="58">
        <v>11098</v>
      </c>
      <c r="G20" s="58">
        <v>11996.048000000001</v>
      </c>
      <c r="H20" s="58">
        <v>12121</v>
      </c>
      <c r="I20" s="68">
        <v>11091</v>
      </c>
      <c r="J20" s="68">
        <v>9142.9609999999993</v>
      </c>
      <c r="K20" s="68">
        <v>9543.3639999999996</v>
      </c>
      <c r="L20" s="68">
        <v>1778.2819999999999</v>
      </c>
      <c r="M20" s="68">
        <v>1840.232</v>
      </c>
      <c r="N20" s="68">
        <f>2190533/1000</f>
        <v>2190.5329999999999</v>
      </c>
      <c r="O20" s="75"/>
      <c r="P20" s="75"/>
      <c r="Q20" s="75"/>
      <c r="R20" s="75"/>
      <c r="S20" s="66"/>
      <c r="T20" s="66"/>
      <c r="U20" s="66"/>
      <c r="V20" s="66"/>
      <c r="W20" s="66"/>
      <c r="X20" s="66"/>
      <c r="Y20" s="66"/>
      <c r="Z20" s="66"/>
      <c r="AA20" s="66"/>
    </row>
    <row r="21" spans="1:27" ht="22.5" customHeight="1" thickBot="1" x14ac:dyDescent="0.25">
      <c r="A21" s="2669" t="s">
        <v>146</v>
      </c>
      <c r="B21" s="2670"/>
      <c r="C21" s="2671"/>
      <c r="D21" s="77" t="s">
        <v>147</v>
      </c>
      <c r="E21" s="78">
        <v>1435</v>
      </c>
      <c r="F21" s="78">
        <v>1142.6420000000001</v>
      </c>
      <c r="G21" s="78">
        <v>1585.9590000000001</v>
      </c>
      <c r="H21" s="78">
        <v>1584.624</v>
      </c>
      <c r="I21" s="79">
        <v>622</v>
      </c>
      <c r="J21" s="79">
        <v>806.51700000000005</v>
      </c>
      <c r="K21" s="79">
        <v>1938.059</v>
      </c>
      <c r="L21" s="79">
        <v>1432.5820000000001</v>
      </c>
      <c r="M21" s="79">
        <v>1570.434</v>
      </c>
      <c r="N21" s="79">
        <f>2373783/1000</f>
        <v>2373.7829999999999</v>
      </c>
      <c r="O21" s="75"/>
      <c r="P21" s="75"/>
      <c r="Q21" s="75"/>
      <c r="R21" s="75"/>
      <c r="S21" s="66"/>
      <c r="T21" s="66"/>
      <c r="U21" s="66"/>
      <c r="V21" s="66"/>
      <c r="W21" s="66"/>
      <c r="X21" s="66"/>
      <c r="Y21" s="66"/>
      <c r="Z21" s="66"/>
      <c r="AA21" s="66"/>
    </row>
    <row r="22" spans="1:27" ht="22.5" customHeight="1" thickBot="1" x14ac:dyDescent="0.25">
      <c r="A22" s="2669" t="s">
        <v>148</v>
      </c>
      <c r="B22" s="2670"/>
      <c r="C22" s="2671"/>
      <c r="D22" s="57" t="s">
        <v>149</v>
      </c>
      <c r="E22" s="63">
        <v>404.226</v>
      </c>
      <c r="F22" s="63">
        <v>432.39499999999998</v>
      </c>
      <c r="G22" s="64">
        <v>466.73250100000001</v>
      </c>
      <c r="H22" s="64">
        <v>485.56200000000001</v>
      </c>
      <c r="I22" s="80">
        <v>481</v>
      </c>
      <c r="J22" s="80">
        <v>435</v>
      </c>
      <c r="K22" s="80">
        <v>467.14264200000019</v>
      </c>
      <c r="L22" s="80">
        <v>461</v>
      </c>
      <c r="M22" s="80">
        <v>451</v>
      </c>
      <c r="N22" s="80">
        <v>451</v>
      </c>
      <c r="O22" s="71"/>
      <c r="P22" s="71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</row>
    <row r="23" spans="1:27" ht="22.5" customHeight="1" thickBot="1" x14ac:dyDescent="0.25">
      <c r="A23" s="2672" t="s">
        <v>150</v>
      </c>
      <c r="B23" s="2673"/>
      <c r="C23" s="2674"/>
      <c r="D23" s="81" t="s">
        <v>151</v>
      </c>
      <c r="E23" s="82">
        <v>9729.6393889958672</v>
      </c>
      <c r="F23" s="82">
        <v>9858</v>
      </c>
      <c r="G23" s="82">
        <v>13344</v>
      </c>
      <c r="H23" s="82">
        <v>19153.897412000002</v>
      </c>
      <c r="I23" s="83">
        <v>25168.567397103998</v>
      </c>
      <c r="J23" s="83">
        <v>41335.439764977993</v>
      </c>
      <c r="K23" s="83">
        <v>65651.394130989007</v>
      </c>
      <c r="L23" s="83">
        <f>+'[3]90'!W16/1000</f>
        <v>79192.818350728994</v>
      </c>
      <c r="M23" s="83">
        <v>108012</v>
      </c>
      <c r="N23" s="83">
        <v>165997</v>
      </c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</row>
    <row r="24" spans="1:27" ht="22.5" customHeight="1" thickBot="1" x14ac:dyDescent="0.25">
      <c r="A24" s="2675" t="s">
        <v>152</v>
      </c>
      <c r="B24" s="2676"/>
      <c r="C24" s="2677"/>
      <c r="D24" s="84" t="s">
        <v>151</v>
      </c>
      <c r="E24" s="82">
        <v>17592.180501531999</v>
      </c>
      <c r="F24" s="82">
        <v>22067.625034589</v>
      </c>
      <c r="G24" s="82">
        <v>26985.609005440001</v>
      </c>
      <c r="H24" s="82">
        <v>30562.318552126799</v>
      </c>
      <c r="I24" s="83">
        <v>39673</v>
      </c>
      <c r="J24" s="83">
        <v>51359.860293541999</v>
      </c>
      <c r="K24" s="83">
        <v>76999.482485750006</v>
      </c>
      <c r="L24" s="83">
        <v>124441</v>
      </c>
      <c r="M24" s="83">
        <v>165942</v>
      </c>
      <c r="N24" s="83">
        <v>233937</v>
      </c>
      <c r="O24" s="66"/>
      <c r="P24" s="85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</row>
    <row r="25" spans="1:27" ht="22.5" customHeight="1" thickBot="1" x14ac:dyDescent="0.25">
      <c r="A25" s="2678" t="s">
        <v>153</v>
      </c>
      <c r="B25" s="2679"/>
      <c r="C25" s="2680"/>
      <c r="D25" s="77" t="s">
        <v>151</v>
      </c>
      <c r="E25" s="82">
        <v>19350.462</v>
      </c>
      <c r="F25" s="82">
        <v>21628.239000000001</v>
      </c>
      <c r="G25" s="82">
        <v>28828.004000000001</v>
      </c>
      <c r="H25" s="82">
        <v>18127.21</v>
      </c>
      <c r="I25" s="83">
        <v>15395.885</v>
      </c>
      <c r="J25" s="83">
        <v>18024.169999999998</v>
      </c>
      <c r="K25" s="83">
        <v>33529.597999999998</v>
      </c>
      <c r="L25" s="83">
        <v>31634</v>
      </c>
      <c r="M25" s="83">
        <v>61903</v>
      </c>
      <c r="N25" s="83">
        <v>126450</v>
      </c>
      <c r="O25" s="66"/>
      <c r="P25" s="8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</row>
    <row r="26" spans="1:27" ht="22.5" customHeight="1" x14ac:dyDescent="0.2">
      <c r="A26" s="2681" t="s">
        <v>154</v>
      </c>
      <c r="B26" s="2681"/>
      <c r="C26" s="2681"/>
      <c r="D26" s="2681"/>
      <c r="E26" s="2681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</row>
    <row r="27" spans="1:27" ht="21.75" customHeight="1" x14ac:dyDescent="0.2">
      <c r="A27" s="2695" t="s">
        <v>155</v>
      </c>
      <c r="B27" s="2695"/>
      <c r="C27" s="2695"/>
      <c r="D27" s="2695"/>
      <c r="F27" s="65"/>
      <c r="G27" s="65"/>
      <c r="H27" s="65"/>
      <c r="I27" s="65"/>
      <c r="J27" s="2664"/>
      <c r="K27" s="2664"/>
      <c r="L27" s="87"/>
      <c r="M27" s="87"/>
      <c r="N27" s="87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</row>
    <row r="28" spans="1:27" ht="21.75" x14ac:dyDescent="0.2">
      <c r="A28" s="2696" t="s">
        <v>156</v>
      </c>
      <c r="B28" s="2696"/>
      <c r="C28" s="2696"/>
      <c r="D28" s="2696"/>
      <c r="F28" s="65"/>
      <c r="G28" s="65"/>
      <c r="H28" s="65"/>
      <c r="I28" s="65"/>
      <c r="J28" s="2664"/>
      <c r="K28" s="2664"/>
      <c r="L28" s="88"/>
      <c r="M28" s="88"/>
      <c r="N28" s="88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</row>
    <row r="29" spans="1:27" x14ac:dyDescent="0.2">
      <c r="B29" s="2665"/>
      <c r="C29" s="2665"/>
      <c r="D29" s="2665"/>
      <c r="F29" s="65"/>
      <c r="G29" s="65"/>
      <c r="H29" s="65"/>
      <c r="I29" s="65"/>
      <c r="L29" s="89"/>
      <c r="M29" s="89"/>
      <c r="N29" s="89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</row>
    <row r="30" spans="1:27" x14ac:dyDescent="0.2"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</row>
    <row r="31" spans="1:27" x14ac:dyDescent="0.2">
      <c r="F31" s="65"/>
      <c r="G31" s="65"/>
      <c r="H31" s="65"/>
      <c r="I31" s="65"/>
    </row>
  </sheetData>
  <mergeCells count="31">
    <mergeCell ref="P9:Q9"/>
    <mergeCell ref="A10:C10"/>
    <mergeCell ref="A27:D27"/>
    <mergeCell ref="A28:D28"/>
    <mergeCell ref="A7:C7"/>
    <mergeCell ref="A19:C19"/>
    <mergeCell ref="A8:C8"/>
    <mergeCell ref="A9:C9"/>
    <mergeCell ref="A11:C11"/>
    <mergeCell ref="A12:C12"/>
    <mergeCell ref="A13:C13"/>
    <mergeCell ref="A14:C14"/>
    <mergeCell ref="A15:C15"/>
    <mergeCell ref="A16:C16"/>
    <mergeCell ref="A17:C17"/>
    <mergeCell ref="A18:C18"/>
    <mergeCell ref="A2:C2"/>
    <mergeCell ref="A3:C3"/>
    <mergeCell ref="A4:C4"/>
    <mergeCell ref="A5:C5"/>
    <mergeCell ref="A6:C6"/>
    <mergeCell ref="J27:K27"/>
    <mergeCell ref="J28:K28"/>
    <mergeCell ref="B29:D29"/>
    <mergeCell ref="A20:C20"/>
    <mergeCell ref="A21:C21"/>
    <mergeCell ref="A22:C22"/>
    <mergeCell ref="A23:C23"/>
    <mergeCell ref="A24:C24"/>
    <mergeCell ref="A25:C25"/>
    <mergeCell ref="A26:E26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49" firstPageNumber="18" pageOrder="overThenDown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3:N47"/>
  <sheetViews>
    <sheetView rightToLeft="1" zoomScale="66" zoomScaleNormal="66" workbookViewId="0">
      <selection activeCell="C20" sqref="C20"/>
    </sheetView>
  </sheetViews>
  <sheetFormatPr defaultColWidth="7" defaultRowHeight="15.75" x14ac:dyDescent="0.4"/>
  <cols>
    <col min="1" max="1" width="16.25" style="90" customWidth="1"/>
    <col min="2" max="3" width="13.75" style="90" customWidth="1"/>
    <col min="4" max="5" width="11.875" style="90" customWidth="1"/>
    <col min="6" max="14" width="7" style="90"/>
    <col min="15" max="16" width="7" style="90" customWidth="1"/>
    <col min="17" max="16384" width="7" style="90"/>
  </cols>
  <sheetData>
    <row r="3" ht="17.25" customHeight="1" x14ac:dyDescent="0.4"/>
    <row r="4" ht="17.25" customHeight="1" x14ac:dyDescent="0.4"/>
    <row r="5" ht="17.25" customHeight="1" x14ac:dyDescent="0.4"/>
    <row r="6" ht="17.25" customHeight="1" x14ac:dyDescent="0.4"/>
    <row r="7" ht="17.25" customHeight="1" x14ac:dyDescent="0.4"/>
    <row r="8" ht="17.25" customHeight="1" x14ac:dyDescent="0.4"/>
    <row r="9" ht="17.25" customHeight="1" x14ac:dyDescent="0.4"/>
    <row r="10" ht="17.25" customHeight="1" x14ac:dyDescent="0.4"/>
    <row r="11" ht="17.25" customHeight="1" x14ac:dyDescent="0.4"/>
    <row r="12" ht="17.25" customHeight="1" x14ac:dyDescent="0.4"/>
    <row r="13" ht="17.25" customHeight="1" x14ac:dyDescent="0.4"/>
    <row r="14" ht="5.25" customHeight="1" x14ac:dyDescent="0.4"/>
    <row r="15" ht="17.25" customHeight="1" x14ac:dyDescent="0.4"/>
    <row r="17" spans="1:8" ht="9.75" customHeight="1" x14ac:dyDescent="0.4"/>
    <row r="18" spans="1:8" ht="20.25" customHeight="1" thickBot="1" x14ac:dyDescent="0.45">
      <c r="A18" s="2795" t="s">
        <v>514</v>
      </c>
      <c r="B18" s="2795"/>
      <c r="C18" s="2795"/>
      <c r="D18" s="2795"/>
      <c r="E18" s="2795"/>
    </row>
    <row r="19" spans="1:8" ht="20.25" customHeight="1" x14ac:dyDescent="0.4">
      <c r="A19" s="2796" t="s">
        <v>118</v>
      </c>
      <c r="B19" s="2798" t="s">
        <v>38</v>
      </c>
      <c r="C19" s="2799"/>
      <c r="D19" s="2800" t="s">
        <v>442</v>
      </c>
      <c r="E19" s="2802" t="s">
        <v>406</v>
      </c>
    </row>
    <row r="20" spans="1:8" ht="20.25" customHeight="1" thickBot="1" x14ac:dyDescent="0.45">
      <c r="A20" s="2797"/>
      <c r="B20" s="396">
        <v>1402</v>
      </c>
      <c r="C20" s="396">
        <v>1403</v>
      </c>
      <c r="D20" s="2801"/>
      <c r="E20" s="2803"/>
    </row>
    <row r="21" spans="1:8" ht="14.25" customHeight="1" x14ac:dyDescent="0.4">
      <c r="A21" s="397" t="s">
        <v>107</v>
      </c>
      <c r="B21" s="398">
        <v>66324</v>
      </c>
      <c r="C21" s="398">
        <v>74669</v>
      </c>
      <c r="D21" s="399">
        <f t="shared" ref="D21:D44" si="0">C21-B21</f>
        <v>8345</v>
      </c>
      <c r="E21" s="400">
        <f t="shared" ref="E21:E44" si="1">D21/B21</f>
        <v>0.12582172365961039</v>
      </c>
      <c r="F21" s="90">
        <v>1</v>
      </c>
      <c r="G21" s="401" t="s">
        <v>107</v>
      </c>
      <c r="H21" s="401" t="s">
        <v>107</v>
      </c>
    </row>
    <row r="22" spans="1:8" ht="14.25" customHeight="1" x14ac:dyDescent="0.4">
      <c r="A22" s="397" t="s">
        <v>112</v>
      </c>
      <c r="B22" s="398">
        <v>7826</v>
      </c>
      <c r="C22" s="398">
        <v>2992</v>
      </c>
      <c r="D22" s="399">
        <f t="shared" si="0"/>
        <v>-4834</v>
      </c>
      <c r="E22" s="400">
        <f t="shared" si="1"/>
        <v>-0.61768464094045494</v>
      </c>
      <c r="F22" s="90">
        <v>2</v>
      </c>
      <c r="G22" s="402" t="s">
        <v>112</v>
      </c>
      <c r="H22" s="402" t="s">
        <v>112</v>
      </c>
    </row>
    <row r="23" spans="1:8" ht="14.25" customHeight="1" x14ac:dyDescent="0.4">
      <c r="A23" s="397" t="s">
        <v>198</v>
      </c>
      <c r="B23" s="398">
        <v>19510</v>
      </c>
      <c r="C23" s="398">
        <v>23089</v>
      </c>
      <c r="D23" s="399">
        <f t="shared" si="0"/>
        <v>3579</v>
      </c>
      <c r="E23" s="400">
        <f t="shared" si="1"/>
        <v>0.18344438749359304</v>
      </c>
      <c r="F23" s="90">
        <v>3</v>
      </c>
      <c r="G23" s="401" t="s">
        <v>198</v>
      </c>
      <c r="H23" s="401" t="s">
        <v>198</v>
      </c>
    </row>
    <row r="24" spans="1:8" ht="14.25" customHeight="1" x14ac:dyDescent="0.4">
      <c r="A24" s="397" t="s">
        <v>102</v>
      </c>
      <c r="B24" s="398">
        <v>34624</v>
      </c>
      <c r="C24" s="398">
        <v>33800</v>
      </c>
      <c r="D24" s="399">
        <f t="shared" si="0"/>
        <v>-824</v>
      </c>
      <c r="E24" s="400">
        <f t="shared" si="1"/>
        <v>-2.3798521256931607E-2</v>
      </c>
      <c r="F24" s="90">
        <v>4</v>
      </c>
      <c r="G24" s="401" t="s">
        <v>102</v>
      </c>
      <c r="H24" s="401" t="s">
        <v>102</v>
      </c>
    </row>
    <row r="25" spans="1:8" ht="14.25" customHeight="1" x14ac:dyDescent="0.4">
      <c r="A25" s="397" t="s">
        <v>199</v>
      </c>
      <c r="B25" s="398">
        <v>4205</v>
      </c>
      <c r="C25" s="398">
        <v>2735</v>
      </c>
      <c r="D25" s="399">
        <f t="shared" si="0"/>
        <v>-1470</v>
      </c>
      <c r="E25" s="400">
        <f t="shared" si="1"/>
        <v>-0.34958382877526756</v>
      </c>
      <c r="F25" s="90">
        <v>5</v>
      </c>
      <c r="G25" s="401" t="s">
        <v>199</v>
      </c>
      <c r="H25" s="401" t="s">
        <v>199</v>
      </c>
    </row>
    <row r="26" spans="1:8" ht="14.25" customHeight="1" x14ac:dyDescent="0.4">
      <c r="A26" s="397" t="s">
        <v>113</v>
      </c>
      <c r="B26" s="398">
        <v>22334</v>
      </c>
      <c r="C26" s="398">
        <v>17174</v>
      </c>
      <c r="D26" s="399">
        <f t="shared" si="0"/>
        <v>-5160</v>
      </c>
      <c r="E26" s="400">
        <f t="shared" si="1"/>
        <v>-0.2310378794662846</v>
      </c>
      <c r="F26" s="90">
        <v>6</v>
      </c>
      <c r="G26" s="401" t="s">
        <v>113</v>
      </c>
      <c r="H26" s="401" t="s">
        <v>113</v>
      </c>
    </row>
    <row r="27" spans="1:8" ht="14.25" customHeight="1" x14ac:dyDescent="0.4">
      <c r="A27" s="397" t="s">
        <v>200</v>
      </c>
      <c r="B27" s="398">
        <v>6952</v>
      </c>
      <c r="C27" s="398">
        <v>6015</v>
      </c>
      <c r="D27" s="399">
        <f t="shared" si="0"/>
        <v>-937</v>
      </c>
      <c r="E27" s="400">
        <f t="shared" si="1"/>
        <v>-0.13478135788262371</v>
      </c>
      <c r="F27" s="90">
        <v>7</v>
      </c>
      <c r="G27" s="401" t="s">
        <v>200</v>
      </c>
      <c r="H27" s="401" t="s">
        <v>200</v>
      </c>
    </row>
    <row r="28" spans="1:8" ht="14.25" customHeight="1" x14ac:dyDescent="0.4">
      <c r="A28" s="397" t="s">
        <v>114</v>
      </c>
      <c r="B28" s="398">
        <v>7395</v>
      </c>
      <c r="C28" s="398">
        <v>11551</v>
      </c>
      <c r="D28" s="399">
        <f t="shared" si="0"/>
        <v>4156</v>
      </c>
      <c r="E28" s="400">
        <f t="shared" si="1"/>
        <v>0.562001352265044</v>
      </c>
      <c r="F28" s="90">
        <v>8</v>
      </c>
      <c r="G28" s="401" t="s">
        <v>114</v>
      </c>
      <c r="H28" s="401" t="s">
        <v>114</v>
      </c>
    </row>
    <row r="29" spans="1:8" ht="14.25" customHeight="1" x14ac:dyDescent="0.4">
      <c r="A29" s="397" t="s">
        <v>99</v>
      </c>
      <c r="B29" s="398">
        <v>42842</v>
      </c>
      <c r="C29" s="398">
        <v>51988</v>
      </c>
      <c r="D29" s="399">
        <f t="shared" si="0"/>
        <v>9146</v>
      </c>
      <c r="E29" s="400">
        <f t="shared" si="1"/>
        <v>0.21348209700760937</v>
      </c>
      <c r="F29" s="90">
        <v>9</v>
      </c>
      <c r="G29" s="401" t="s">
        <v>99</v>
      </c>
      <c r="H29" s="401" t="s">
        <v>99</v>
      </c>
    </row>
    <row r="30" spans="1:8" ht="14.25" customHeight="1" x14ac:dyDescent="0.4">
      <c r="A30" s="397" t="s">
        <v>110</v>
      </c>
      <c r="B30" s="398">
        <v>2767</v>
      </c>
      <c r="C30" s="398">
        <v>5975</v>
      </c>
      <c r="D30" s="399">
        <f t="shared" si="0"/>
        <v>3208</v>
      </c>
      <c r="E30" s="400">
        <f t="shared" si="1"/>
        <v>1.1593783881460065</v>
      </c>
      <c r="F30" s="90">
        <v>10</v>
      </c>
      <c r="G30" s="401" t="s">
        <v>110</v>
      </c>
      <c r="H30" s="401" t="s">
        <v>110</v>
      </c>
    </row>
    <row r="31" spans="1:8" ht="14.25" customHeight="1" x14ac:dyDescent="0.4">
      <c r="A31" s="397" t="s">
        <v>201</v>
      </c>
      <c r="B31" s="398">
        <v>23947</v>
      </c>
      <c r="C31" s="398">
        <v>29238</v>
      </c>
      <c r="D31" s="399">
        <f t="shared" si="0"/>
        <v>5291</v>
      </c>
      <c r="E31" s="400">
        <f t="shared" si="1"/>
        <v>0.22094625631603124</v>
      </c>
      <c r="F31" s="90">
        <v>11</v>
      </c>
      <c r="G31" s="401" t="s">
        <v>201</v>
      </c>
      <c r="H31" s="401" t="s">
        <v>201</v>
      </c>
    </row>
    <row r="32" spans="1:8" ht="14.25" customHeight="1" x14ac:dyDescent="0.4">
      <c r="A32" s="397" t="s">
        <v>97</v>
      </c>
      <c r="B32" s="398">
        <v>49602</v>
      </c>
      <c r="C32" s="398">
        <v>42634</v>
      </c>
      <c r="D32" s="399">
        <f t="shared" si="0"/>
        <v>-6968</v>
      </c>
      <c r="E32" s="400">
        <f t="shared" si="1"/>
        <v>-0.14047820652393048</v>
      </c>
      <c r="F32" s="90">
        <v>12</v>
      </c>
      <c r="G32" s="403" t="s">
        <v>97</v>
      </c>
      <c r="H32" s="403" t="s">
        <v>97</v>
      </c>
    </row>
    <row r="33" spans="1:14" ht="14.25" customHeight="1" x14ac:dyDescent="0.4">
      <c r="A33" s="397" t="s">
        <v>202</v>
      </c>
      <c r="B33" s="398">
        <v>150203</v>
      </c>
      <c r="C33" s="398">
        <v>142657</v>
      </c>
      <c r="D33" s="399">
        <f t="shared" si="0"/>
        <v>-7546</v>
      </c>
      <c r="E33" s="400">
        <f t="shared" si="1"/>
        <v>-5.0238676990472894E-2</v>
      </c>
      <c r="F33" s="90">
        <v>13</v>
      </c>
      <c r="G33" s="401" t="s">
        <v>202</v>
      </c>
      <c r="H33" s="401" t="s">
        <v>202</v>
      </c>
    </row>
    <row r="34" spans="1:14" ht="14.25" customHeight="1" x14ac:dyDescent="0.4">
      <c r="A34" s="397" t="s">
        <v>105</v>
      </c>
      <c r="B34" s="398">
        <v>22839</v>
      </c>
      <c r="C34" s="398">
        <v>11943</v>
      </c>
      <c r="D34" s="399">
        <f t="shared" si="0"/>
        <v>-10896</v>
      </c>
      <c r="E34" s="400">
        <f t="shared" si="1"/>
        <v>-0.47707868120320507</v>
      </c>
      <c r="F34" s="90">
        <v>14</v>
      </c>
      <c r="G34" s="401" t="s">
        <v>105</v>
      </c>
      <c r="H34" s="401" t="s">
        <v>105</v>
      </c>
    </row>
    <row r="35" spans="1:14" ht="14.25" customHeight="1" x14ac:dyDescent="0.4">
      <c r="A35" s="397" t="s">
        <v>106</v>
      </c>
      <c r="B35" s="398">
        <v>2893</v>
      </c>
      <c r="C35" s="398">
        <v>2810</v>
      </c>
      <c r="D35" s="399">
        <f t="shared" si="0"/>
        <v>-83</v>
      </c>
      <c r="E35" s="400">
        <f t="shared" si="1"/>
        <v>-2.8689941237469756E-2</v>
      </c>
      <c r="F35" s="90">
        <v>15</v>
      </c>
      <c r="G35" s="401" t="s">
        <v>106</v>
      </c>
      <c r="H35" s="401" t="s">
        <v>106</v>
      </c>
    </row>
    <row r="36" spans="1:14" ht="14.25" customHeight="1" x14ac:dyDescent="0.4">
      <c r="A36" s="397" t="s">
        <v>101</v>
      </c>
      <c r="B36" s="398">
        <v>105545</v>
      </c>
      <c r="C36" s="398">
        <v>99418</v>
      </c>
      <c r="D36" s="399">
        <f t="shared" si="0"/>
        <v>-6127</v>
      </c>
      <c r="E36" s="400">
        <f t="shared" si="1"/>
        <v>-5.8051068264721208E-2</v>
      </c>
      <c r="F36" s="90">
        <v>16</v>
      </c>
      <c r="G36" s="401" t="s">
        <v>101</v>
      </c>
      <c r="H36" s="401" t="s">
        <v>101</v>
      </c>
    </row>
    <row r="37" spans="1:14" ht="14.25" customHeight="1" x14ac:dyDescent="0.4">
      <c r="A37" s="397" t="s">
        <v>108</v>
      </c>
      <c r="B37" s="398">
        <v>5488</v>
      </c>
      <c r="C37" s="398">
        <v>3641</v>
      </c>
      <c r="D37" s="399">
        <f t="shared" si="0"/>
        <v>-1847</v>
      </c>
      <c r="E37" s="400">
        <f t="shared" si="1"/>
        <v>-0.33655247813411077</v>
      </c>
      <c r="F37" s="90">
        <v>17</v>
      </c>
      <c r="G37" s="401" t="s">
        <v>108</v>
      </c>
      <c r="H37" s="401" t="s">
        <v>96</v>
      </c>
    </row>
    <row r="38" spans="1:14" ht="14.25" customHeight="1" x14ac:dyDescent="0.4">
      <c r="A38" s="397" t="s">
        <v>111</v>
      </c>
      <c r="B38" s="398">
        <v>2834</v>
      </c>
      <c r="C38" s="398">
        <v>2828</v>
      </c>
      <c r="D38" s="399">
        <f t="shared" si="0"/>
        <v>-6</v>
      </c>
      <c r="E38" s="400">
        <f t="shared" si="1"/>
        <v>-2.1171489061397319E-3</v>
      </c>
      <c r="F38" s="90">
        <v>18</v>
      </c>
      <c r="G38" s="401" t="s">
        <v>111</v>
      </c>
      <c r="H38" s="401" t="s">
        <v>104</v>
      </c>
    </row>
    <row r="39" spans="1:14" ht="14.25" customHeight="1" x14ac:dyDescent="0.4">
      <c r="A39" s="397" t="s">
        <v>96</v>
      </c>
      <c r="B39" s="398">
        <v>88696</v>
      </c>
      <c r="C39" s="398">
        <v>79998</v>
      </c>
      <c r="D39" s="399">
        <f t="shared" si="0"/>
        <v>-8698</v>
      </c>
      <c r="E39" s="400">
        <f t="shared" si="1"/>
        <v>-9.8065301704699195E-2</v>
      </c>
      <c r="F39" s="90">
        <v>19</v>
      </c>
      <c r="G39" s="401" t="s">
        <v>96</v>
      </c>
      <c r="H39" s="401" t="s">
        <v>111</v>
      </c>
    </row>
    <row r="40" spans="1:14" ht="14.25" customHeight="1" x14ac:dyDescent="0.4">
      <c r="A40" s="397" t="s">
        <v>104</v>
      </c>
      <c r="B40" s="398">
        <v>5672</v>
      </c>
      <c r="C40" s="398">
        <v>8590</v>
      </c>
      <c r="D40" s="399">
        <f t="shared" si="0"/>
        <v>2918</v>
      </c>
      <c r="E40" s="400">
        <f t="shared" si="1"/>
        <v>0.51445698166431597</v>
      </c>
      <c r="F40" s="90">
        <v>20</v>
      </c>
      <c r="G40" s="401" t="s">
        <v>104</v>
      </c>
      <c r="H40" s="401" t="s">
        <v>108</v>
      </c>
    </row>
    <row r="41" spans="1:14" ht="14.25" customHeight="1" x14ac:dyDescent="0.4">
      <c r="A41" s="397" t="s">
        <v>109</v>
      </c>
      <c r="B41" s="398">
        <v>5171</v>
      </c>
      <c r="C41" s="398">
        <v>5132</v>
      </c>
      <c r="D41" s="399">
        <f t="shared" si="0"/>
        <v>-39</v>
      </c>
      <c r="E41" s="400">
        <f t="shared" si="1"/>
        <v>-7.5420614968091278E-3</v>
      </c>
      <c r="F41" s="90">
        <v>21</v>
      </c>
      <c r="G41" s="401" t="s">
        <v>109</v>
      </c>
      <c r="H41" s="401" t="s">
        <v>109</v>
      </c>
    </row>
    <row r="42" spans="1:14" ht="14.25" customHeight="1" x14ac:dyDescent="0.4">
      <c r="A42" s="397" t="s">
        <v>203</v>
      </c>
      <c r="B42" s="398">
        <v>5975</v>
      </c>
      <c r="C42" s="398">
        <v>3199</v>
      </c>
      <c r="D42" s="399">
        <f t="shared" si="0"/>
        <v>-2776</v>
      </c>
      <c r="E42" s="400">
        <f t="shared" si="1"/>
        <v>-0.46460251046025103</v>
      </c>
    </row>
    <row r="43" spans="1:14" ht="14.25" customHeight="1" thickBot="1" x14ac:dyDescent="0.45">
      <c r="A43" s="397" t="s">
        <v>204</v>
      </c>
      <c r="B43" s="398">
        <v>5393</v>
      </c>
      <c r="C43" s="398">
        <v>2237</v>
      </c>
      <c r="D43" s="399">
        <f t="shared" si="0"/>
        <v>-3156</v>
      </c>
      <c r="E43" s="400">
        <f t="shared" si="1"/>
        <v>-0.58520304097904696</v>
      </c>
    </row>
    <row r="44" spans="1:14" ht="18.75" customHeight="1" thickBot="1" x14ac:dyDescent="0.45">
      <c r="A44" s="232" t="s">
        <v>170</v>
      </c>
      <c r="B44" s="404">
        <v>725144</v>
      </c>
      <c r="C44" s="404">
        <f>SUM(C21:C43)</f>
        <v>664313</v>
      </c>
      <c r="D44" s="405">
        <f t="shared" si="0"/>
        <v>-60831</v>
      </c>
      <c r="E44" s="406">
        <f t="shared" si="1"/>
        <v>-8.3888165660889427E-2</v>
      </c>
    </row>
    <row r="45" spans="1:14" ht="1.5" customHeight="1" x14ac:dyDescent="0.4"/>
    <row r="46" spans="1:14" x14ac:dyDescent="0.4">
      <c r="A46" s="2804" t="s">
        <v>515</v>
      </c>
      <c r="B46" s="2804"/>
      <c r="C46" s="2804"/>
      <c r="D46" s="2804"/>
      <c r="E46" s="2804"/>
    </row>
    <row r="47" spans="1:14" ht="54" customHeight="1" x14ac:dyDescent="0.4">
      <c r="A47" s="2793" t="s">
        <v>516</v>
      </c>
      <c r="B47" s="2794"/>
      <c r="C47" s="2794"/>
      <c r="D47" s="2794"/>
      <c r="E47" s="2794"/>
      <c r="F47" s="2794"/>
      <c r="G47" s="2794"/>
      <c r="H47" s="2794"/>
      <c r="I47" s="2794"/>
      <c r="J47" s="2794"/>
      <c r="K47" s="2794"/>
      <c r="L47" s="2794"/>
      <c r="M47" s="2794"/>
      <c r="N47" s="2794"/>
    </row>
  </sheetData>
  <mergeCells count="7">
    <mergeCell ref="A47:N47"/>
    <mergeCell ref="A18:E18"/>
    <mergeCell ref="A19:A20"/>
    <mergeCell ref="B19:C19"/>
    <mergeCell ref="D19:D20"/>
    <mergeCell ref="E19:E20"/>
    <mergeCell ref="A46:E46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firstPageNumber="3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AE41"/>
  <sheetViews>
    <sheetView rightToLeft="1" zoomScale="73" zoomScaleNormal="73" workbookViewId="0">
      <pane xSplit="1" ySplit="2" topLeftCell="B9" activePane="bottomRight" state="frozen"/>
      <selection activeCell="C20" sqref="C20"/>
      <selection pane="topRight" activeCell="C20" sqref="C20"/>
      <selection pane="bottomLeft" activeCell="C20" sqref="C20"/>
      <selection pane="bottomRight" activeCell="C20" sqref="C20"/>
    </sheetView>
  </sheetViews>
  <sheetFormatPr defaultColWidth="7" defaultRowHeight="15.75" x14ac:dyDescent="0.4"/>
  <cols>
    <col min="1" max="1" width="7.875" style="90" bestFit="1" customWidth="1"/>
    <col min="2" max="2" width="8.875" style="90" bestFit="1" customWidth="1"/>
    <col min="3" max="3" width="7.875" style="90" bestFit="1" customWidth="1"/>
    <col min="4" max="10" width="8.875" style="90" bestFit="1" customWidth="1"/>
    <col min="11" max="11" width="7.375" style="90" bestFit="1" customWidth="1"/>
    <col min="12" max="13" width="8.875" style="90" bestFit="1" customWidth="1"/>
    <col min="14" max="14" width="9.875" style="90" bestFit="1" customWidth="1"/>
    <col min="15" max="15" width="8.875" style="90" bestFit="1" customWidth="1"/>
    <col min="16" max="16" width="7.375" style="90" bestFit="1" customWidth="1"/>
    <col min="17" max="18" width="8.875" style="90" bestFit="1" customWidth="1"/>
    <col min="19" max="19" width="7.375" style="90" bestFit="1" customWidth="1"/>
    <col min="20" max="20" width="9" style="90" bestFit="1" customWidth="1"/>
    <col min="21" max="22" width="7.375" style="90" bestFit="1" customWidth="1"/>
    <col min="23" max="23" width="8.625" style="90" bestFit="1" customWidth="1"/>
    <col min="24" max="24" width="7.375" style="90" bestFit="1" customWidth="1"/>
    <col min="25" max="25" width="9.875" style="90" bestFit="1" customWidth="1"/>
    <col min="26" max="27" width="7" style="90"/>
    <col min="28" max="28" width="5.25" style="90" bestFit="1" customWidth="1"/>
    <col min="29" max="29" width="7" style="90"/>
    <col min="30" max="30" width="6.75" style="90" bestFit="1" customWidth="1"/>
    <col min="31" max="16384" width="7" style="90"/>
  </cols>
  <sheetData>
    <row r="1" spans="1:31" ht="39.75" customHeight="1" thickBot="1" x14ac:dyDescent="0.45">
      <c r="A1" s="2805" t="s">
        <v>517</v>
      </c>
      <c r="B1" s="2805"/>
      <c r="C1" s="2805"/>
      <c r="D1" s="2805"/>
      <c r="E1" s="2805"/>
      <c r="F1" s="2805"/>
      <c r="G1" s="2805"/>
      <c r="H1" s="2805"/>
      <c r="I1" s="2805"/>
      <c r="J1" s="2805"/>
      <c r="K1" s="2805"/>
      <c r="L1" s="2805"/>
      <c r="M1" s="2805"/>
      <c r="N1" s="2805"/>
      <c r="O1" s="2805"/>
      <c r="P1" s="2805"/>
      <c r="Q1" s="2805"/>
      <c r="R1" s="2805"/>
      <c r="S1" s="2805"/>
      <c r="T1" s="2805"/>
      <c r="U1" s="2805"/>
      <c r="V1" s="2805"/>
      <c r="W1" s="2805"/>
      <c r="X1" s="2805"/>
      <c r="Y1" s="2805"/>
    </row>
    <row r="2" spans="1:31" ht="63" customHeight="1" thickBot="1" x14ac:dyDescent="0.45">
      <c r="A2" s="407" t="s">
        <v>118</v>
      </c>
      <c r="B2" s="408" t="s">
        <v>107</v>
      </c>
      <c r="C2" s="409" t="s">
        <v>112</v>
      </c>
      <c r="D2" s="409" t="s">
        <v>198</v>
      </c>
      <c r="E2" s="409" t="s">
        <v>102</v>
      </c>
      <c r="F2" s="409" t="s">
        <v>199</v>
      </c>
      <c r="G2" s="409" t="s">
        <v>113</v>
      </c>
      <c r="H2" s="409" t="s">
        <v>200</v>
      </c>
      <c r="I2" s="409" t="s">
        <v>114</v>
      </c>
      <c r="J2" s="409" t="s">
        <v>99</v>
      </c>
      <c r="K2" s="409" t="s">
        <v>110</v>
      </c>
      <c r="L2" s="409" t="s">
        <v>201</v>
      </c>
      <c r="M2" s="409" t="s">
        <v>97</v>
      </c>
      <c r="N2" s="409" t="s">
        <v>202</v>
      </c>
      <c r="O2" s="409" t="s">
        <v>105</v>
      </c>
      <c r="P2" s="409" t="s">
        <v>106</v>
      </c>
      <c r="Q2" s="409" t="s">
        <v>101</v>
      </c>
      <c r="R2" s="410" t="s">
        <v>108</v>
      </c>
      <c r="S2" s="410" t="s">
        <v>111</v>
      </c>
      <c r="T2" s="410" t="s">
        <v>96</v>
      </c>
      <c r="U2" s="410" t="s">
        <v>104</v>
      </c>
      <c r="V2" s="410" t="s">
        <v>109</v>
      </c>
      <c r="W2" s="411" t="s">
        <v>518</v>
      </c>
      <c r="X2" s="412" t="s">
        <v>519</v>
      </c>
      <c r="Y2" s="413" t="s">
        <v>170</v>
      </c>
    </row>
    <row r="3" spans="1:31" ht="44.25" customHeight="1" x14ac:dyDescent="0.4">
      <c r="A3" s="414" t="s">
        <v>158</v>
      </c>
      <c r="B3" s="415">
        <v>265375</v>
      </c>
      <c r="C3" s="415">
        <v>35135</v>
      </c>
      <c r="D3" s="415">
        <v>111735</v>
      </c>
      <c r="E3" s="416">
        <v>159311</v>
      </c>
      <c r="F3" s="415">
        <v>8857</v>
      </c>
      <c r="G3" s="415">
        <v>104861</v>
      </c>
      <c r="H3" s="415">
        <v>22578</v>
      </c>
      <c r="I3" s="415">
        <v>30000</v>
      </c>
      <c r="J3" s="415">
        <v>181418</v>
      </c>
      <c r="K3" s="415">
        <v>27891</v>
      </c>
      <c r="L3" s="415">
        <v>106115</v>
      </c>
      <c r="M3" s="415">
        <v>244850</v>
      </c>
      <c r="N3" s="415">
        <v>950519</v>
      </c>
      <c r="O3" s="415">
        <v>92508</v>
      </c>
      <c r="P3" s="415">
        <v>5635</v>
      </c>
      <c r="Q3" s="415">
        <v>443821</v>
      </c>
      <c r="R3" s="417">
        <v>17448</v>
      </c>
      <c r="S3" s="417">
        <v>5445</v>
      </c>
      <c r="T3" s="415">
        <v>700839</v>
      </c>
      <c r="U3" s="417">
        <v>33460</v>
      </c>
      <c r="V3" s="417">
        <v>6178</v>
      </c>
      <c r="W3" s="417">
        <v>9500</v>
      </c>
      <c r="X3" s="417">
        <v>11100</v>
      </c>
      <c r="Y3" s="99">
        <f>SUM(B3:X3)</f>
        <v>3574579</v>
      </c>
      <c r="Z3" s="95"/>
      <c r="AB3" s="90">
        <v>14370</v>
      </c>
    </row>
    <row r="4" spans="1:31" ht="44.25" customHeight="1" x14ac:dyDescent="0.4">
      <c r="A4" s="418" t="s">
        <v>159</v>
      </c>
      <c r="B4" s="419">
        <v>270367</v>
      </c>
      <c r="C4" s="420">
        <v>31750</v>
      </c>
      <c r="D4" s="419">
        <v>132845</v>
      </c>
      <c r="E4" s="421">
        <v>140009</v>
      </c>
      <c r="F4" s="419">
        <v>10594</v>
      </c>
      <c r="G4" s="419">
        <v>121225</v>
      </c>
      <c r="H4" s="419">
        <v>28444</v>
      </c>
      <c r="I4" s="419">
        <v>41174</v>
      </c>
      <c r="J4" s="419">
        <v>211780</v>
      </c>
      <c r="K4" s="419">
        <v>24120</v>
      </c>
      <c r="L4" s="419">
        <v>96471</v>
      </c>
      <c r="M4" s="419">
        <v>241577</v>
      </c>
      <c r="N4" s="419">
        <v>893566</v>
      </c>
      <c r="O4" s="420">
        <v>108500</v>
      </c>
      <c r="P4" s="419">
        <v>4607</v>
      </c>
      <c r="Q4" s="420">
        <v>382259</v>
      </c>
      <c r="R4" s="419">
        <v>29760</v>
      </c>
      <c r="S4" s="420">
        <v>22315</v>
      </c>
      <c r="T4" s="419">
        <v>615060</v>
      </c>
      <c r="U4" s="419">
        <v>14796</v>
      </c>
      <c r="V4" s="419">
        <v>22412</v>
      </c>
      <c r="W4" s="419">
        <v>11280</v>
      </c>
      <c r="X4" s="422">
        <v>10525</v>
      </c>
      <c r="Y4" s="99">
        <f t="shared" ref="Y4:Y15" si="0">SUM(B4:X4)</f>
        <v>3465436</v>
      </c>
      <c r="Z4" s="95"/>
      <c r="AB4" s="90">
        <v>12646</v>
      </c>
    </row>
    <row r="5" spans="1:31" ht="44.25" customHeight="1" thickBot="1" x14ac:dyDescent="0.6">
      <c r="A5" s="418" t="s">
        <v>160</v>
      </c>
      <c r="B5" s="423">
        <v>293883</v>
      </c>
      <c r="C5" s="423">
        <v>38435</v>
      </c>
      <c r="D5" s="423">
        <v>133965</v>
      </c>
      <c r="E5" s="424">
        <v>117627</v>
      </c>
      <c r="F5" s="423">
        <v>15727</v>
      </c>
      <c r="G5" s="423">
        <v>112390</v>
      </c>
      <c r="H5" s="423">
        <v>30298</v>
      </c>
      <c r="I5" s="423">
        <v>41107</v>
      </c>
      <c r="J5" s="423">
        <v>220857</v>
      </c>
      <c r="K5" s="423">
        <v>18160</v>
      </c>
      <c r="L5" s="423">
        <v>111104</v>
      </c>
      <c r="M5" s="423">
        <v>237483</v>
      </c>
      <c r="N5" s="423">
        <v>758708</v>
      </c>
      <c r="O5" s="423">
        <v>52670</v>
      </c>
      <c r="P5" s="423">
        <v>5166</v>
      </c>
      <c r="Q5" s="423">
        <v>406195</v>
      </c>
      <c r="R5" s="425">
        <v>24629</v>
      </c>
      <c r="S5" s="423">
        <v>31246</v>
      </c>
      <c r="T5" s="423">
        <v>571346</v>
      </c>
      <c r="U5" s="423">
        <v>18065</v>
      </c>
      <c r="V5" s="425">
        <v>35834</v>
      </c>
      <c r="W5" s="419">
        <v>11320</v>
      </c>
      <c r="X5" s="426">
        <v>9625</v>
      </c>
      <c r="Y5" s="99">
        <f t="shared" si="0"/>
        <v>3295840</v>
      </c>
      <c r="Z5" s="95"/>
      <c r="AB5" s="90">
        <v>12013</v>
      </c>
      <c r="AC5" s="96"/>
      <c r="AE5" s="427"/>
    </row>
    <row r="6" spans="1:31" ht="44.25" customHeight="1" thickBot="1" x14ac:dyDescent="0.6">
      <c r="A6" s="418" t="s">
        <v>161</v>
      </c>
      <c r="B6" s="423">
        <v>215766</v>
      </c>
      <c r="C6" s="423">
        <v>27330</v>
      </c>
      <c r="D6" s="423">
        <v>108405</v>
      </c>
      <c r="E6" s="424">
        <v>144282</v>
      </c>
      <c r="F6" s="423">
        <v>17213</v>
      </c>
      <c r="G6" s="423">
        <v>68505</v>
      </c>
      <c r="H6" s="423">
        <v>26139</v>
      </c>
      <c r="I6" s="423">
        <v>55314</v>
      </c>
      <c r="J6" s="423">
        <v>202096</v>
      </c>
      <c r="K6" s="423">
        <v>26963</v>
      </c>
      <c r="L6" s="423">
        <v>95001</v>
      </c>
      <c r="M6" s="423">
        <v>189264</v>
      </c>
      <c r="N6" s="423">
        <v>784742</v>
      </c>
      <c r="O6" s="423">
        <v>31983</v>
      </c>
      <c r="P6" s="423">
        <v>7003</v>
      </c>
      <c r="Q6" s="423">
        <v>453209</v>
      </c>
      <c r="R6" s="425">
        <v>17955</v>
      </c>
      <c r="S6" s="423">
        <v>34916</v>
      </c>
      <c r="T6" s="423">
        <v>563956</v>
      </c>
      <c r="U6" s="423">
        <v>30857</v>
      </c>
      <c r="V6" s="425">
        <v>38383</v>
      </c>
      <c r="W6" s="419">
        <v>11160</v>
      </c>
      <c r="X6" s="426">
        <v>8225</v>
      </c>
      <c r="Y6" s="99">
        <f t="shared" si="0"/>
        <v>3158667</v>
      </c>
      <c r="Z6" s="95"/>
      <c r="AB6" s="90">
        <v>12027</v>
      </c>
      <c r="AE6" s="427"/>
    </row>
    <row r="7" spans="1:31" ht="44.25" customHeight="1" thickBot="1" x14ac:dyDescent="0.6">
      <c r="A7" s="418" t="s">
        <v>162</v>
      </c>
      <c r="B7" s="423">
        <v>181151</v>
      </c>
      <c r="C7" s="423">
        <v>8080</v>
      </c>
      <c r="D7" s="423">
        <v>120590</v>
      </c>
      <c r="E7" s="424">
        <v>148775</v>
      </c>
      <c r="F7" s="423">
        <v>12210</v>
      </c>
      <c r="G7" s="423">
        <v>60806</v>
      </c>
      <c r="H7" s="423">
        <v>29974</v>
      </c>
      <c r="I7" s="423">
        <v>61230</v>
      </c>
      <c r="J7" s="423">
        <v>222146</v>
      </c>
      <c r="K7" s="423">
        <v>29531</v>
      </c>
      <c r="L7" s="423">
        <v>105433</v>
      </c>
      <c r="M7" s="423">
        <v>164555</v>
      </c>
      <c r="N7" s="423">
        <v>849392</v>
      </c>
      <c r="O7" s="423">
        <v>34677</v>
      </c>
      <c r="P7" s="423">
        <v>6859</v>
      </c>
      <c r="Q7" s="423">
        <v>496235</v>
      </c>
      <c r="R7" s="425">
        <v>17481</v>
      </c>
      <c r="S7" s="423">
        <v>19317</v>
      </c>
      <c r="T7" s="423">
        <v>387171</v>
      </c>
      <c r="U7" s="423">
        <v>44891</v>
      </c>
      <c r="V7" s="425">
        <v>51311</v>
      </c>
      <c r="W7" s="419">
        <v>10360</v>
      </c>
      <c r="X7" s="426">
        <v>8450</v>
      </c>
      <c r="Y7" s="99">
        <f t="shared" si="0"/>
        <v>3070625</v>
      </c>
      <c r="Z7" s="95"/>
      <c r="AB7" s="90">
        <v>12950</v>
      </c>
      <c r="AE7" s="427"/>
    </row>
    <row r="8" spans="1:31" ht="44.25" customHeight="1" thickBot="1" x14ac:dyDescent="0.45">
      <c r="A8" s="418" t="s">
        <v>163</v>
      </c>
      <c r="B8" s="419">
        <v>239422</v>
      </c>
      <c r="C8" s="419">
        <v>3695</v>
      </c>
      <c r="D8" s="419">
        <v>111080</v>
      </c>
      <c r="E8" s="419">
        <v>144627</v>
      </c>
      <c r="F8" s="419">
        <v>8264</v>
      </c>
      <c r="G8" s="419">
        <v>54229</v>
      </c>
      <c r="H8" s="419">
        <v>26649</v>
      </c>
      <c r="I8" s="419">
        <v>69999</v>
      </c>
      <c r="J8" s="419">
        <v>220144</v>
      </c>
      <c r="K8" s="419">
        <v>32953</v>
      </c>
      <c r="L8" s="419">
        <v>104234</v>
      </c>
      <c r="M8" s="419">
        <v>222042</v>
      </c>
      <c r="N8" s="419">
        <v>952431</v>
      </c>
      <c r="O8" s="419">
        <v>34730</v>
      </c>
      <c r="P8" s="419">
        <v>5047</v>
      </c>
      <c r="Q8" s="419">
        <v>517036</v>
      </c>
      <c r="R8" s="419">
        <v>17888</v>
      </c>
      <c r="S8" s="419">
        <v>10744</v>
      </c>
      <c r="T8" s="419">
        <v>492065</v>
      </c>
      <c r="U8" s="419">
        <v>35049</v>
      </c>
      <c r="V8" s="419">
        <v>21518</v>
      </c>
      <c r="W8" s="419">
        <v>10360</v>
      </c>
      <c r="X8" s="426">
        <v>8000</v>
      </c>
      <c r="Y8" s="99">
        <f t="shared" si="0"/>
        <v>3342206</v>
      </c>
      <c r="Z8" s="95"/>
      <c r="AB8" s="90">
        <v>14662</v>
      </c>
      <c r="AC8" s="96"/>
      <c r="AE8" s="427"/>
    </row>
    <row r="9" spans="1:31" ht="44.25" customHeight="1" thickBot="1" x14ac:dyDescent="0.6">
      <c r="A9" s="418" t="s">
        <v>164</v>
      </c>
      <c r="B9" s="428">
        <v>313422</v>
      </c>
      <c r="C9" s="428">
        <v>8520</v>
      </c>
      <c r="D9" s="428">
        <v>135875</v>
      </c>
      <c r="E9" s="428">
        <v>142717</v>
      </c>
      <c r="F9" s="428">
        <v>14332</v>
      </c>
      <c r="G9" s="428">
        <v>70472</v>
      </c>
      <c r="H9" s="428">
        <v>45448</v>
      </c>
      <c r="I9" s="428">
        <v>77257</v>
      </c>
      <c r="J9" s="428">
        <v>293897</v>
      </c>
      <c r="K9" s="428">
        <v>35736</v>
      </c>
      <c r="L9" s="428">
        <v>126228</v>
      </c>
      <c r="M9" s="428">
        <v>257963</v>
      </c>
      <c r="N9" s="428">
        <v>762720</v>
      </c>
      <c r="O9" s="428">
        <v>56474</v>
      </c>
      <c r="P9" s="428">
        <v>7156</v>
      </c>
      <c r="Q9" s="428">
        <v>534731</v>
      </c>
      <c r="R9" s="428">
        <v>24886</v>
      </c>
      <c r="S9" s="428">
        <v>7948</v>
      </c>
      <c r="T9" s="428">
        <v>578677</v>
      </c>
      <c r="U9" s="428">
        <v>64069</v>
      </c>
      <c r="V9" s="428">
        <v>23439</v>
      </c>
      <c r="W9" s="429" t="s">
        <v>208</v>
      </c>
      <c r="X9" s="430" t="s">
        <v>208</v>
      </c>
      <c r="Y9" s="99">
        <f t="shared" si="0"/>
        <v>3581967</v>
      </c>
      <c r="Z9" s="95"/>
      <c r="AB9" s="90">
        <v>15176</v>
      </c>
      <c r="AE9" s="427"/>
    </row>
    <row r="10" spans="1:31" ht="44.25" customHeight="1" thickBot="1" x14ac:dyDescent="0.6">
      <c r="A10" s="418" t="s">
        <v>520</v>
      </c>
      <c r="B10" s="428">
        <v>330155</v>
      </c>
      <c r="C10" s="428">
        <v>6745</v>
      </c>
      <c r="D10" s="428">
        <v>99850</v>
      </c>
      <c r="E10" s="428">
        <v>158922</v>
      </c>
      <c r="F10" s="428">
        <v>10123</v>
      </c>
      <c r="G10" s="428">
        <v>69769</v>
      </c>
      <c r="H10" s="428">
        <v>40571</v>
      </c>
      <c r="I10" s="428">
        <v>65128</v>
      </c>
      <c r="J10" s="428">
        <v>279962</v>
      </c>
      <c r="K10" s="428">
        <v>33621</v>
      </c>
      <c r="L10" s="428">
        <v>133764</v>
      </c>
      <c r="M10" s="428">
        <v>206220</v>
      </c>
      <c r="N10" s="428">
        <v>933568</v>
      </c>
      <c r="O10" s="428">
        <v>54114</v>
      </c>
      <c r="P10" s="428">
        <v>6164</v>
      </c>
      <c r="Q10" s="428">
        <v>489140</v>
      </c>
      <c r="R10" s="428">
        <v>29487</v>
      </c>
      <c r="S10" s="428">
        <v>4823</v>
      </c>
      <c r="T10" s="428">
        <v>501523</v>
      </c>
      <c r="U10" s="428">
        <v>58670</v>
      </c>
      <c r="V10" s="428">
        <v>2448</v>
      </c>
      <c r="W10" s="429" t="s">
        <v>208</v>
      </c>
      <c r="X10" s="430" t="s">
        <v>208</v>
      </c>
      <c r="Y10" s="99">
        <f t="shared" si="0"/>
        <v>3514767</v>
      </c>
      <c r="Z10" s="95"/>
      <c r="AB10" s="90">
        <v>14760</v>
      </c>
      <c r="AE10" s="427"/>
    </row>
    <row r="11" spans="1:31" ht="44.25" customHeight="1" thickBot="1" x14ac:dyDescent="0.6">
      <c r="A11" s="418" t="s">
        <v>166</v>
      </c>
      <c r="B11" s="428">
        <v>341678</v>
      </c>
      <c r="C11" s="428">
        <v>4005</v>
      </c>
      <c r="D11" s="428">
        <v>119385</v>
      </c>
      <c r="E11" s="428">
        <v>133492</v>
      </c>
      <c r="F11" s="428">
        <v>13219</v>
      </c>
      <c r="G11" s="428">
        <v>82930</v>
      </c>
      <c r="H11" s="428">
        <v>28714</v>
      </c>
      <c r="I11" s="428">
        <v>59067</v>
      </c>
      <c r="J11" s="428">
        <v>273877</v>
      </c>
      <c r="K11" s="428">
        <v>21412</v>
      </c>
      <c r="L11" s="428">
        <v>101615</v>
      </c>
      <c r="M11" s="428">
        <v>225953</v>
      </c>
      <c r="N11" s="428">
        <v>939997</v>
      </c>
      <c r="O11" s="428">
        <v>56381</v>
      </c>
      <c r="P11" s="428">
        <v>6361</v>
      </c>
      <c r="Q11" s="428">
        <v>467573</v>
      </c>
      <c r="R11" s="428">
        <v>15567</v>
      </c>
      <c r="S11" s="428">
        <v>15081</v>
      </c>
      <c r="T11" s="428">
        <v>454151</v>
      </c>
      <c r="U11" s="428">
        <v>111103</v>
      </c>
      <c r="V11" s="428">
        <v>12837</v>
      </c>
      <c r="W11" s="429" t="s">
        <v>208</v>
      </c>
      <c r="X11" s="430" t="s">
        <v>208</v>
      </c>
      <c r="Y11" s="99">
        <f t="shared" si="0"/>
        <v>3484398</v>
      </c>
      <c r="Z11" s="95"/>
      <c r="AB11" s="90">
        <v>12735</v>
      </c>
      <c r="AC11" s="96"/>
      <c r="AE11" s="427"/>
    </row>
    <row r="12" spans="1:31" ht="44.25" customHeight="1" thickBot="1" x14ac:dyDescent="0.6">
      <c r="A12" s="418" t="s">
        <v>521</v>
      </c>
      <c r="B12" s="428">
        <v>321600</v>
      </c>
      <c r="C12" s="428">
        <v>4655</v>
      </c>
      <c r="D12" s="428">
        <v>66695</v>
      </c>
      <c r="E12" s="428">
        <v>134903</v>
      </c>
      <c r="F12" s="428">
        <v>8893</v>
      </c>
      <c r="G12" s="428">
        <v>72416</v>
      </c>
      <c r="H12" s="428">
        <v>23010</v>
      </c>
      <c r="I12" s="428">
        <v>55085</v>
      </c>
      <c r="J12" s="428">
        <v>319985</v>
      </c>
      <c r="K12" s="428">
        <v>46086</v>
      </c>
      <c r="L12" s="428">
        <v>93104</v>
      </c>
      <c r="M12" s="428">
        <v>224847</v>
      </c>
      <c r="N12" s="428">
        <v>1034220</v>
      </c>
      <c r="O12" s="428">
        <v>55489</v>
      </c>
      <c r="P12" s="428">
        <v>7094</v>
      </c>
      <c r="Q12" s="428">
        <v>449647</v>
      </c>
      <c r="R12" s="428">
        <v>15845</v>
      </c>
      <c r="S12" s="428">
        <v>12220</v>
      </c>
      <c r="T12" s="428">
        <v>409499</v>
      </c>
      <c r="U12" s="428">
        <v>100629</v>
      </c>
      <c r="V12" s="428">
        <v>29331</v>
      </c>
      <c r="W12" s="429" t="s">
        <v>208</v>
      </c>
      <c r="X12" s="430" t="s">
        <v>208</v>
      </c>
      <c r="Y12" s="99">
        <f t="shared" si="0"/>
        <v>3485253</v>
      </c>
      <c r="Z12" s="95"/>
      <c r="AB12" s="90">
        <v>15345</v>
      </c>
      <c r="AE12" s="427"/>
    </row>
    <row r="13" spans="1:31" ht="44.25" customHeight="1" thickBot="1" x14ac:dyDescent="0.6">
      <c r="A13" s="418" t="s">
        <v>168</v>
      </c>
      <c r="B13" s="428">
        <v>305210</v>
      </c>
      <c r="C13" s="428">
        <v>10380</v>
      </c>
      <c r="D13" s="428">
        <v>69955</v>
      </c>
      <c r="E13" s="428">
        <v>125445</v>
      </c>
      <c r="F13" s="428">
        <v>19985</v>
      </c>
      <c r="G13" s="428">
        <v>68171</v>
      </c>
      <c r="H13" s="428">
        <v>24845</v>
      </c>
      <c r="I13" s="428">
        <v>63178</v>
      </c>
      <c r="J13" s="428">
        <v>321665</v>
      </c>
      <c r="K13" s="428">
        <v>31045</v>
      </c>
      <c r="L13" s="428">
        <v>105170</v>
      </c>
      <c r="M13" s="428">
        <v>205311</v>
      </c>
      <c r="N13" s="428">
        <v>891232</v>
      </c>
      <c r="O13" s="428">
        <v>75791</v>
      </c>
      <c r="P13" s="428">
        <v>14986</v>
      </c>
      <c r="Q13" s="428">
        <v>547660</v>
      </c>
      <c r="R13" s="428">
        <v>18597</v>
      </c>
      <c r="S13" s="428">
        <v>8512</v>
      </c>
      <c r="T13" s="428">
        <v>429957</v>
      </c>
      <c r="U13" s="428">
        <v>28231</v>
      </c>
      <c r="V13" s="428">
        <v>39962</v>
      </c>
      <c r="W13" s="425" t="s">
        <v>208</v>
      </c>
      <c r="X13" s="431" t="s">
        <v>208</v>
      </c>
      <c r="Y13" s="99">
        <f t="shared" si="0"/>
        <v>3405288</v>
      </c>
      <c r="Z13" s="95"/>
      <c r="AB13" s="90">
        <v>16252</v>
      </c>
      <c r="AE13" s="427"/>
    </row>
    <row r="14" spans="1:31" ht="44.25" customHeight="1" thickBot="1" x14ac:dyDescent="0.6">
      <c r="A14" s="432" t="s">
        <v>169</v>
      </c>
      <c r="B14" s="433">
        <v>265693</v>
      </c>
      <c r="C14" s="433">
        <v>7140</v>
      </c>
      <c r="D14" s="433">
        <v>72920</v>
      </c>
      <c r="E14" s="433">
        <v>120882</v>
      </c>
      <c r="F14" s="433">
        <v>9673</v>
      </c>
      <c r="G14" s="433">
        <v>89401</v>
      </c>
      <c r="H14" s="433">
        <v>29081</v>
      </c>
      <c r="I14" s="433">
        <v>72234</v>
      </c>
      <c r="J14" s="433">
        <v>317379</v>
      </c>
      <c r="K14" s="433">
        <v>14769</v>
      </c>
      <c r="L14" s="433">
        <v>92232</v>
      </c>
      <c r="M14" s="433">
        <v>233950</v>
      </c>
      <c r="N14" s="433">
        <v>821417</v>
      </c>
      <c r="O14" s="433">
        <v>89847</v>
      </c>
      <c r="P14" s="433">
        <v>43911</v>
      </c>
      <c r="Q14" s="433">
        <v>395906</v>
      </c>
      <c r="R14" s="433">
        <v>17686</v>
      </c>
      <c r="S14" s="433">
        <v>4001</v>
      </c>
      <c r="T14" s="433">
        <v>509531</v>
      </c>
      <c r="U14" s="433">
        <v>18695</v>
      </c>
      <c r="V14" s="433">
        <v>26127</v>
      </c>
      <c r="W14" s="433" t="s">
        <v>208</v>
      </c>
      <c r="X14" s="433" t="s">
        <v>208</v>
      </c>
      <c r="Y14" s="99">
        <f t="shared" si="0"/>
        <v>3252475</v>
      </c>
      <c r="Z14" s="95"/>
      <c r="AB14" s="90">
        <v>12264</v>
      </c>
      <c r="AC14" s="96"/>
      <c r="AE14" s="427"/>
    </row>
    <row r="15" spans="1:31" ht="40.5" customHeight="1" thickBot="1" x14ac:dyDescent="0.45">
      <c r="A15" s="434" t="s">
        <v>170</v>
      </c>
      <c r="B15" s="435">
        <f t="shared" ref="B15:X15" si="1">SUM(B3:B14)</f>
        <v>3343722</v>
      </c>
      <c r="C15" s="436">
        <f t="shared" si="1"/>
        <v>185870</v>
      </c>
      <c r="D15" s="436">
        <f t="shared" si="1"/>
        <v>1283300</v>
      </c>
      <c r="E15" s="436">
        <f t="shared" si="1"/>
        <v>1670992</v>
      </c>
      <c r="F15" s="436">
        <f t="shared" si="1"/>
        <v>149090</v>
      </c>
      <c r="G15" s="436">
        <f t="shared" si="1"/>
        <v>975175</v>
      </c>
      <c r="H15" s="436">
        <f t="shared" si="1"/>
        <v>355751</v>
      </c>
      <c r="I15" s="436">
        <f t="shared" si="1"/>
        <v>690773</v>
      </c>
      <c r="J15" s="436">
        <f t="shared" si="1"/>
        <v>3065206</v>
      </c>
      <c r="K15" s="436">
        <f t="shared" si="1"/>
        <v>342287</v>
      </c>
      <c r="L15" s="436">
        <f t="shared" si="1"/>
        <v>1270471</v>
      </c>
      <c r="M15" s="436">
        <f t="shared" si="1"/>
        <v>2654015</v>
      </c>
      <c r="N15" s="436">
        <f t="shared" si="1"/>
        <v>10572512</v>
      </c>
      <c r="O15" s="436">
        <f t="shared" si="1"/>
        <v>743164</v>
      </c>
      <c r="P15" s="436">
        <f t="shared" si="1"/>
        <v>119989</v>
      </c>
      <c r="Q15" s="436">
        <f t="shared" si="1"/>
        <v>5583412</v>
      </c>
      <c r="R15" s="437">
        <f t="shared" si="1"/>
        <v>247229</v>
      </c>
      <c r="S15" s="437">
        <f t="shared" si="1"/>
        <v>176568</v>
      </c>
      <c r="T15" s="437">
        <f t="shared" si="1"/>
        <v>6213775</v>
      </c>
      <c r="U15" s="437">
        <f t="shared" si="1"/>
        <v>558515</v>
      </c>
      <c r="V15" s="437">
        <f t="shared" si="1"/>
        <v>309780</v>
      </c>
      <c r="W15" s="437">
        <f t="shared" si="1"/>
        <v>63980</v>
      </c>
      <c r="X15" s="438">
        <f t="shared" si="1"/>
        <v>55925</v>
      </c>
      <c r="Y15" s="439">
        <f t="shared" si="0"/>
        <v>40631501</v>
      </c>
      <c r="AE15" s="427"/>
    </row>
    <row r="16" spans="1:31" x14ac:dyDescent="0.4">
      <c r="A16" s="2806" t="s">
        <v>522</v>
      </c>
      <c r="B16" s="2806"/>
      <c r="C16" s="2806"/>
      <c r="D16" s="2806"/>
      <c r="E16" s="2806"/>
      <c r="F16" s="2806"/>
      <c r="G16" s="2806"/>
      <c r="H16" s="2806"/>
      <c r="I16" s="2806"/>
      <c r="J16" s="2806"/>
      <c r="K16" s="2806"/>
      <c r="L16" s="2806"/>
      <c r="M16" s="2806"/>
      <c r="N16" s="2806"/>
      <c r="O16" s="2806"/>
      <c r="P16" s="2806"/>
      <c r="Q16" s="2806"/>
      <c r="R16" s="2806"/>
      <c r="S16" s="2806"/>
      <c r="T16" s="2806"/>
      <c r="U16" s="2806"/>
      <c r="V16" s="2806"/>
      <c r="W16" s="2806"/>
      <c r="X16" s="2806"/>
      <c r="Y16" s="2806"/>
    </row>
    <row r="17" spans="1:30" ht="39" customHeight="1" x14ac:dyDescent="0.4">
      <c r="A17" s="2793" t="s">
        <v>516</v>
      </c>
      <c r="B17" s="2794"/>
      <c r="C17" s="2794"/>
      <c r="D17" s="2794"/>
      <c r="E17" s="2794"/>
      <c r="F17" s="2794"/>
      <c r="G17" s="2794"/>
      <c r="H17" s="2794"/>
      <c r="I17" s="2794"/>
      <c r="J17" s="2794"/>
      <c r="K17" s="2794"/>
      <c r="L17" s="2794"/>
      <c r="M17" s="2794"/>
      <c r="N17" s="2794"/>
      <c r="O17" s="440"/>
      <c r="P17" s="441"/>
      <c r="Q17" s="440"/>
      <c r="R17" s="440"/>
      <c r="S17" s="440"/>
      <c r="T17" s="440"/>
      <c r="U17" s="440"/>
      <c r="V17" s="440"/>
      <c r="W17" s="440"/>
      <c r="X17" s="440"/>
      <c r="Y17" s="96"/>
    </row>
    <row r="18" spans="1:30" x14ac:dyDescent="0.4">
      <c r="O18" s="442"/>
      <c r="Y18" s="96"/>
      <c r="AD18" s="90" t="e">
        <f>+(AD14-AD11)/AD11</f>
        <v>#DIV/0!</v>
      </c>
    </row>
    <row r="21" spans="1:30" x14ac:dyDescent="0.4"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</row>
    <row r="22" spans="1:30" x14ac:dyDescent="0.4">
      <c r="E22" s="442"/>
      <c r="F22" s="442"/>
      <c r="G22" s="442"/>
      <c r="H22" s="442"/>
      <c r="I22" s="442"/>
      <c r="J22" s="442"/>
      <c r="K22" s="442"/>
      <c r="L22" s="442"/>
      <c r="M22" s="442"/>
      <c r="N22" s="442"/>
      <c r="O22" s="442"/>
      <c r="P22" s="442"/>
      <c r="Q22" s="442"/>
      <c r="R22" s="442"/>
    </row>
    <row r="23" spans="1:30" x14ac:dyDescent="0.4">
      <c r="O23" s="427"/>
    </row>
    <row r="28" spans="1:30" x14ac:dyDescent="0.4"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</row>
    <row r="29" spans="1:30" x14ac:dyDescent="0.4"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</row>
    <row r="30" spans="1:30" x14ac:dyDescent="0.4"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</row>
    <row r="31" spans="1:30" x14ac:dyDescent="0.4"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</row>
    <row r="32" spans="1:30" x14ac:dyDescent="0.4"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</row>
    <row r="33" spans="2:23" x14ac:dyDescent="0.4"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</row>
    <row r="34" spans="2:23" x14ac:dyDescent="0.4"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</row>
    <row r="35" spans="2:23" x14ac:dyDescent="0.4"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</row>
    <row r="36" spans="2:23" x14ac:dyDescent="0.4"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</row>
    <row r="37" spans="2:23" x14ac:dyDescent="0.4"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</row>
    <row r="38" spans="2:23" x14ac:dyDescent="0.4"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</row>
    <row r="39" spans="2:23" x14ac:dyDescent="0.4"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</row>
    <row r="40" spans="2:23" x14ac:dyDescent="0.4"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</row>
    <row r="41" spans="2:23" x14ac:dyDescent="0.4"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</row>
  </sheetData>
  <mergeCells count="3">
    <mergeCell ref="A1:Y1"/>
    <mergeCell ref="A16:Y16"/>
    <mergeCell ref="A17:N17"/>
  </mergeCells>
  <printOptions horizontalCentered="1"/>
  <pageMargins left="0.39370078740157483" right="0.39370078740157483" top="0.98425196850393704" bottom="0.98425196850393704" header="0" footer="0"/>
  <pageSetup paperSize="9" scale="6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N47"/>
  <sheetViews>
    <sheetView rightToLeft="1" topLeftCell="A9" zoomScaleNormal="100" workbookViewId="0">
      <selection activeCell="B20" sqref="B20:C20"/>
    </sheetView>
  </sheetViews>
  <sheetFormatPr defaultColWidth="7" defaultRowHeight="15.75" x14ac:dyDescent="0.4"/>
  <cols>
    <col min="1" max="1" width="16.25" style="90" customWidth="1"/>
    <col min="2" max="3" width="13.75" style="90" customWidth="1"/>
    <col min="4" max="5" width="11.875" style="90" customWidth="1"/>
    <col min="6" max="16384" width="7" style="90"/>
  </cols>
  <sheetData>
    <row r="1" spans="1:1" x14ac:dyDescent="0.4">
      <c r="A1" s="443"/>
    </row>
    <row r="17" spans="1:8" ht="10.5" customHeight="1" x14ac:dyDescent="0.4"/>
    <row r="18" spans="1:8" hidden="1" x14ac:dyDescent="0.4"/>
    <row r="19" spans="1:8" ht="21.75" thickBot="1" x14ac:dyDescent="0.45">
      <c r="A19" s="2795" t="s">
        <v>523</v>
      </c>
      <c r="B19" s="2795"/>
      <c r="C19" s="2795"/>
      <c r="D19" s="2795"/>
      <c r="E19" s="2795"/>
    </row>
    <row r="20" spans="1:8" ht="20.25" customHeight="1" x14ac:dyDescent="0.4">
      <c r="A20" s="2807" t="s">
        <v>118</v>
      </c>
      <c r="B20" s="2809" t="s">
        <v>38</v>
      </c>
      <c r="C20" s="2686"/>
      <c r="D20" s="2810" t="s">
        <v>442</v>
      </c>
      <c r="E20" s="2812" t="s">
        <v>406</v>
      </c>
    </row>
    <row r="21" spans="1:8" ht="20.25" customHeight="1" thickBot="1" x14ac:dyDescent="0.45">
      <c r="A21" s="2808"/>
      <c r="B21" s="62">
        <v>1402</v>
      </c>
      <c r="C21" s="62">
        <v>1403</v>
      </c>
      <c r="D21" s="2811"/>
      <c r="E21" s="2813"/>
    </row>
    <row r="22" spans="1:8" ht="16.5" customHeight="1" x14ac:dyDescent="0.4">
      <c r="A22" s="242" t="s">
        <v>107</v>
      </c>
      <c r="B22" s="444">
        <v>3386791</v>
      </c>
      <c r="C22" s="444">
        <v>3343722</v>
      </c>
      <c r="D22" s="445">
        <f>C22-B22</f>
        <v>-43069</v>
      </c>
      <c r="E22" s="446">
        <f>D22/B22</f>
        <v>-1.2716757544235827E-2</v>
      </c>
      <c r="F22" s="257">
        <v>1</v>
      </c>
      <c r="G22" s="257" t="s">
        <v>107</v>
      </c>
      <c r="H22" s="257" t="s">
        <v>107</v>
      </c>
    </row>
    <row r="23" spans="1:8" ht="16.5" customHeight="1" x14ac:dyDescent="0.4">
      <c r="A23" s="242" t="s">
        <v>112</v>
      </c>
      <c r="B23" s="444">
        <v>445659</v>
      </c>
      <c r="C23" s="444">
        <v>185870</v>
      </c>
      <c r="D23" s="445">
        <f>C23-B23</f>
        <v>-259789</v>
      </c>
      <c r="E23" s="446">
        <f t="shared" ref="E23:E45" si="0">D23/B23</f>
        <v>-0.58293224191590431</v>
      </c>
      <c r="F23" s="257">
        <v>2</v>
      </c>
      <c r="G23" s="257" t="s">
        <v>112</v>
      </c>
      <c r="H23" s="257" t="s">
        <v>112</v>
      </c>
    </row>
    <row r="24" spans="1:8" ht="16.5" customHeight="1" x14ac:dyDescent="0.4">
      <c r="A24" s="242" t="s">
        <v>198</v>
      </c>
      <c r="B24" s="444">
        <v>1103928</v>
      </c>
      <c r="C24" s="444">
        <v>1283300</v>
      </c>
      <c r="D24" s="445">
        <f t="shared" ref="D24:D45" si="1">C24-B24</f>
        <v>179372</v>
      </c>
      <c r="E24" s="446">
        <f t="shared" si="0"/>
        <v>0.16248523454428188</v>
      </c>
      <c r="F24" s="257">
        <v>3</v>
      </c>
      <c r="G24" s="257" t="s">
        <v>198</v>
      </c>
      <c r="H24" s="257" t="s">
        <v>198</v>
      </c>
    </row>
    <row r="25" spans="1:8" ht="16.5" customHeight="1" x14ac:dyDescent="0.4">
      <c r="A25" s="242" t="s">
        <v>102</v>
      </c>
      <c r="B25" s="444">
        <v>1824124</v>
      </c>
      <c r="C25" s="444">
        <v>1670992</v>
      </c>
      <c r="D25" s="445">
        <f t="shared" si="1"/>
        <v>-153132</v>
      </c>
      <c r="E25" s="446">
        <f t="shared" si="0"/>
        <v>-8.3948240360852661E-2</v>
      </c>
      <c r="F25" s="257">
        <v>4</v>
      </c>
      <c r="G25" s="257" t="s">
        <v>102</v>
      </c>
      <c r="H25" s="257" t="s">
        <v>102</v>
      </c>
    </row>
    <row r="26" spans="1:8" ht="16.5" customHeight="1" x14ac:dyDescent="0.4">
      <c r="A26" s="242" t="s">
        <v>199</v>
      </c>
      <c r="B26" s="444">
        <v>240504</v>
      </c>
      <c r="C26" s="444">
        <v>149090</v>
      </c>
      <c r="D26" s="445">
        <f t="shared" si="1"/>
        <v>-91414</v>
      </c>
      <c r="E26" s="446">
        <f t="shared" si="0"/>
        <v>-0.38009347037887103</v>
      </c>
      <c r="F26" s="257">
        <v>5</v>
      </c>
      <c r="G26" s="257" t="s">
        <v>199</v>
      </c>
      <c r="H26" s="257" t="s">
        <v>199</v>
      </c>
    </row>
    <row r="27" spans="1:8" ht="16.5" customHeight="1" x14ac:dyDescent="0.4">
      <c r="A27" s="242" t="s">
        <v>113</v>
      </c>
      <c r="B27" s="444">
        <v>1283202</v>
      </c>
      <c r="C27" s="444">
        <v>975175</v>
      </c>
      <c r="D27" s="445">
        <f t="shared" si="1"/>
        <v>-308027</v>
      </c>
      <c r="E27" s="446">
        <f t="shared" si="0"/>
        <v>-0.24004560466707503</v>
      </c>
      <c r="F27" s="257">
        <v>6</v>
      </c>
      <c r="G27" s="257" t="s">
        <v>113</v>
      </c>
      <c r="H27" s="257" t="s">
        <v>113</v>
      </c>
    </row>
    <row r="28" spans="1:8" ht="16.5" customHeight="1" x14ac:dyDescent="0.4">
      <c r="A28" s="242" t="s">
        <v>200</v>
      </c>
      <c r="B28" s="444">
        <v>404291</v>
      </c>
      <c r="C28" s="444">
        <v>355751</v>
      </c>
      <c r="D28" s="445">
        <f t="shared" si="1"/>
        <v>-48540</v>
      </c>
      <c r="E28" s="446">
        <f t="shared" si="0"/>
        <v>-0.12006203452463696</v>
      </c>
      <c r="F28" s="257">
        <v>7</v>
      </c>
      <c r="G28" s="257" t="s">
        <v>200</v>
      </c>
      <c r="H28" s="257" t="s">
        <v>200</v>
      </c>
    </row>
    <row r="29" spans="1:8" ht="16.5" customHeight="1" x14ac:dyDescent="0.4">
      <c r="A29" s="242" t="s">
        <v>114</v>
      </c>
      <c r="B29" s="444">
        <v>454634</v>
      </c>
      <c r="C29" s="444">
        <v>690773</v>
      </c>
      <c r="D29" s="445">
        <f>C29-B29</f>
        <v>236139</v>
      </c>
      <c r="E29" s="446">
        <f>D29/B29</f>
        <v>0.51940461998002785</v>
      </c>
      <c r="F29" s="257">
        <v>8</v>
      </c>
      <c r="G29" s="257" t="s">
        <v>114</v>
      </c>
      <c r="H29" s="257" t="s">
        <v>114</v>
      </c>
    </row>
    <row r="30" spans="1:8" ht="16.5" customHeight="1" x14ac:dyDescent="0.4">
      <c r="A30" s="242" t="s">
        <v>99</v>
      </c>
      <c r="B30" s="444">
        <v>2360397</v>
      </c>
      <c r="C30" s="444">
        <v>3065206</v>
      </c>
      <c r="D30" s="445">
        <f t="shared" si="1"/>
        <v>704809</v>
      </c>
      <c r="E30" s="446">
        <f t="shared" si="0"/>
        <v>0.29859765115783488</v>
      </c>
      <c r="F30" s="257">
        <v>9</v>
      </c>
      <c r="G30" s="257" t="s">
        <v>99</v>
      </c>
      <c r="H30" s="257" t="s">
        <v>99</v>
      </c>
    </row>
    <row r="31" spans="1:8" ht="16.5" customHeight="1" x14ac:dyDescent="0.4">
      <c r="A31" s="242" t="s">
        <v>110</v>
      </c>
      <c r="B31" s="444">
        <v>173024</v>
      </c>
      <c r="C31" s="444">
        <v>342287</v>
      </c>
      <c r="D31" s="445">
        <f t="shared" si="1"/>
        <v>169263</v>
      </c>
      <c r="E31" s="446">
        <f t="shared" si="0"/>
        <v>0.97826313112631769</v>
      </c>
      <c r="F31" s="257">
        <v>10</v>
      </c>
      <c r="G31" s="257" t="s">
        <v>110</v>
      </c>
      <c r="H31" s="257" t="s">
        <v>110</v>
      </c>
    </row>
    <row r="32" spans="1:8" ht="16.5" customHeight="1" x14ac:dyDescent="0.4">
      <c r="A32" s="242" t="s">
        <v>201</v>
      </c>
      <c r="B32" s="444">
        <v>1008206</v>
      </c>
      <c r="C32" s="444">
        <v>1270471</v>
      </c>
      <c r="D32" s="445">
        <f t="shared" si="1"/>
        <v>262265</v>
      </c>
      <c r="E32" s="446">
        <f t="shared" si="0"/>
        <v>0.26013037018228419</v>
      </c>
      <c r="F32" s="257">
        <v>11</v>
      </c>
      <c r="G32" s="257" t="s">
        <v>201</v>
      </c>
      <c r="H32" s="257" t="s">
        <v>201</v>
      </c>
    </row>
    <row r="33" spans="1:14" ht="16.5" customHeight="1" x14ac:dyDescent="0.4">
      <c r="A33" s="242" t="s">
        <v>97</v>
      </c>
      <c r="B33" s="444">
        <v>3087631</v>
      </c>
      <c r="C33" s="444">
        <v>2654015</v>
      </c>
      <c r="D33" s="445">
        <f t="shared" si="1"/>
        <v>-433616</v>
      </c>
      <c r="E33" s="446">
        <f t="shared" si="0"/>
        <v>-0.14043647054975159</v>
      </c>
      <c r="F33" s="257">
        <v>12</v>
      </c>
      <c r="G33" s="257" t="s">
        <v>97</v>
      </c>
      <c r="H33" s="257" t="s">
        <v>97</v>
      </c>
    </row>
    <row r="34" spans="1:14" ht="16.5" customHeight="1" x14ac:dyDescent="0.4">
      <c r="A34" s="242" t="s">
        <v>202</v>
      </c>
      <c r="B34" s="444">
        <v>11074971</v>
      </c>
      <c r="C34" s="444">
        <v>10572512</v>
      </c>
      <c r="D34" s="445">
        <f t="shared" si="1"/>
        <v>-502459</v>
      </c>
      <c r="E34" s="446">
        <f t="shared" si="0"/>
        <v>-4.5368877263877262E-2</v>
      </c>
      <c r="F34" s="257">
        <v>13</v>
      </c>
      <c r="G34" s="257" t="s">
        <v>202</v>
      </c>
      <c r="H34" s="257" t="s">
        <v>202</v>
      </c>
    </row>
    <row r="35" spans="1:14" ht="16.5" customHeight="1" x14ac:dyDescent="0.4">
      <c r="A35" s="242" t="s">
        <v>105</v>
      </c>
      <c r="B35" s="444">
        <v>1449787</v>
      </c>
      <c r="C35" s="444">
        <v>743164</v>
      </c>
      <c r="D35" s="445">
        <f t="shared" si="1"/>
        <v>-706623</v>
      </c>
      <c r="E35" s="446">
        <f t="shared" si="0"/>
        <v>-0.48739780395327037</v>
      </c>
      <c r="F35" s="257">
        <v>14</v>
      </c>
      <c r="G35" s="257" t="s">
        <v>105</v>
      </c>
      <c r="H35" s="257" t="s">
        <v>105</v>
      </c>
    </row>
    <row r="36" spans="1:14" ht="16.5" customHeight="1" x14ac:dyDescent="0.4">
      <c r="A36" s="242" t="s">
        <v>106</v>
      </c>
      <c r="B36" s="444">
        <v>121014</v>
      </c>
      <c r="C36" s="444">
        <v>119989</v>
      </c>
      <c r="D36" s="445">
        <f t="shared" si="1"/>
        <v>-1025</v>
      </c>
      <c r="E36" s="446">
        <f t="shared" si="0"/>
        <v>-8.4700943692465336E-3</v>
      </c>
      <c r="F36" s="257">
        <v>15</v>
      </c>
      <c r="G36" s="257" t="s">
        <v>106</v>
      </c>
      <c r="H36" s="257" t="s">
        <v>106</v>
      </c>
    </row>
    <row r="37" spans="1:14" ht="16.5" customHeight="1" x14ac:dyDescent="0.4">
      <c r="A37" s="242" t="s">
        <v>101</v>
      </c>
      <c r="B37" s="444">
        <v>6298599</v>
      </c>
      <c r="C37" s="444">
        <v>5583412</v>
      </c>
      <c r="D37" s="445">
        <f t="shared" si="1"/>
        <v>-715187</v>
      </c>
      <c r="E37" s="446">
        <f t="shared" si="0"/>
        <v>-0.11354699672101685</v>
      </c>
      <c r="F37" s="257">
        <v>16</v>
      </c>
      <c r="G37" s="257" t="s">
        <v>101</v>
      </c>
      <c r="H37" s="257" t="s">
        <v>101</v>
      </c>
    </row>
    <row r="38" spans="1:14" ht="16.5" customHeight="1" x14ac:dyDescent="0.4">
      <c r="A38" s="242" t="s">
        <v>108</v>
      </c>
      <c r="B38" s="444">
        <v>350826</v>
      </c>
      <c r="C38" s="444">
        <v>247229</v>
      </c>
      <c r="D38" s="445">
        <f>C38-B38</f>
        <v>-103597</v>
      </c>
      <c r="E38" s="446">
        <f>D38/B38</f>
        <v>-0.29529453347243362</v>
      </c>
      <c r="F38" s="257">
        <v>17</v>
      </c>
      <c r="G38" s="257" t="s">
        <v>108</v>
      </c>
      <c r="H38" s="257" t="s">
        <v>108</v>
      </c>
    </row>
    <row r="39" spans="1:14" ht="15" customHeight="1" x14ac:dyDescent="0.4">
      <c r="A39" s="242" t="s">
        <v>111</v>
      </c>
      <c r="B39" s="444">
        <v>176581</v>
      </c>
      <c r="C39" s="444">
        <v>176568</v>
      </c>
      <c r="D39" s="445">
        <f>C39-B39</f>
        <v>-13</v>
      </c>
      <c r="E39" s="446">
        <f>D39/B39</f>
        <v>-7.3620604708320828E-5</v>
      </c>
      <c r="F39" s="257">
        <v>18</v>
      </c>
      <c r="G39" s="257" t="s">
        <v>111</v>
      </c>
      <c r="H39" s="257" t="s">
        <v>111</v>
      </c>
    </row>
    <row r="40" spans="1:14" ht="19.5" customHeight="1" x14ac:dyDescent="0.4">
      <c r="A40" s="242" t="s">
        <v>96</v>
      </c>
      <c r="B40" s="444">
        <v>6761345</v>
      </c>
      <c r="C40" s="444">
        <v>6213775</v>
      </c>
      <c r="D40" s="445">
        <f t="shared" si="1"/>
        <v>-547570</v>
      </c>
      <c r="E40" s="446">
        <f t="shared" si="0"/>
        <v>-8.0985366077311535E-2</v>
      </c>
      <c r="F40" s="257">
        <v>19</v>
      </c>
      <c r="G40" s="257" t="s">
        <v>96</v>
      </c>
      <c r="H40" s="257" t="s">
        <v>96</v>
      </c>
    </row>
    <row r="41" spans="1:14" ht="14.25" customHeight="1" x14ac:dyDescent="0.4">
      <c r="A41" s="242" t="s">
        <v>104</v>
      </c>
      <c r="B41" s="444">
        <v>377485</v>
      </c>
      <c r="C41" s="444">
        <v>558515</v>
      </c>
      <c r="D41" s="445">
        <f>C41-B41</f>
        <v>181030</v>
      </c>
      <c r="E41" s="446">
        <f>D41/B41</f>
        <v>0.47956872458508287</v>
      </c>
      <c r="F41" s="257">
        <v>20</v>
      </c>
      <c r="G41" s="257" t="s">
        <v>104</v>
      </c>
      <c r="H41" s="257" t="s">
        <v>104</v>
      </c>
    </row>
    <row r="42" spans="1:14" ht="19.5" customHeight="1" x14ac:dyDescent="0.4">
      <c r="A42" s="242" t="s">
        <v>109</v>
      </c>
      <c r="B42" s="444">
        <v>339861</v>
      </c>
      <c r="C42" s="444">
        <v>309780</v>
      </c>
      <c r="D42" s="445">
        <f>C42-B42</f>
        <v>-30081</v>
      </c>
      <c r="E42" s="446">
        <f>D42/B42</f>
        <v>-8.850971426553797E-2</v>
      </c>
      <c r="F42" s="257">
        <v>21</v>
      </c>
      <c r="G42" s="257" t="s">
        <v>109</v>
      </c>
      <c r="H42" s="257" t="s">
        <v>109</v>
      </c>
    </row>
    <row r="43" spans="1:14" ht="18.75" x14ac:dyDescent="0.4">
      <c r="A43" s="242" t="s">
        <v>518</v>
      </c>
      <c r="B43" s="444">
        <v>119500</v>
      </c>
      <c r="C43" s="444">
        <v>63980</v>
      </c>
      <c r="D43" s="445">
        <f>C43-B43</f>
        <v>-55520</v>
      </c>
      <c r="E43" s="446">
        <f>D43/B43</f>
        <v>-0.46460251046025103</v>
      </c>
      <c r="F43" s="257"/>
      <c r="G43" s="257" t="s">
        <v>203</v>
      </c>
      <c r="H43" s="257"/>
    </row>
    <row r="44" spans="1:14" ht="19.5" thickBot="1" x14ac:dyDescent="0.45">
      <c r="A44" s="242" t="s">
        <v>519</v>
      </c>
      <c r="B44" s="444">
        <v>134825</v>
      </c>
      <c r="C44" s="444">
        <v>55925</v>
      </c>
      <c r="D44" s="445">
        <f>C44-B44</f>
        <v>-78900</v>
      </c>
      <c r="E44" s="446">
        <f>D44/B44</f>
        <v>-0.58520304097904696</v>
      </c>
      <c r="F44" s="257"/>
      <c r="G44" s="257" t="s">
        <v>204</v>
      </c>
      <c r="H44" s="257"/>
    </row>
    <row r="45" spans="1:14" ht="19.5" thickBot="1" x14ac:dyDescent="0.45">
      <c r="A45" s="232" t="s">
        <v>170</v>
      </c>
      <c r="B45" s="447">
        <v>44438863</v>
      </c>
      <c r="C45" s="447">
        <f>SUM(C22:C44)</f>
        <v>40631501</v>
      </c>
      <c r="D45" s="448">
        <f t="shared" si="1"/>
        <v>-3807362</v>
      </c>
      <c r="E45" s="449">
        <f t="shared" si="0"/>
        <v>-8.5676404457062733E-2</v>
      </c>
    </row>
    <row r="46" spans="1:14" x14ac:dyDescent="0.4">
      <c r="A46" s="2804" t="s">
        <v>524</v>
      </c>
      <c r="B46" s="2804"/>
      <c r="C46" s="2804"/>
      <c r="D46" s="2804"/>
      <c r="E46" s="2804"/>
    </row>
    <row r="47" spans="1:14" ht="39" customHeight="1" x14ac:dyDescent="0.4">
      <c r="A47" s="2793" t="s">
        <v>516</v>
      </c>
      <c r="B47" s="2794"/>
      <c r="C47" s="2794"/>
      <c r="D47" s="2794"/>
      <c r="E47" s="2794"/>
      <c r="F47" s="2794"/>
      <c r="G47" s="2794"/>
      <c r="H47" s="2794"/>
      <c r="I47" s="2794"/>
      <c r="J47" s="2794"/>
      <c r="K47" s="2794"/>
      <c r="L47" s="2794"/>
      <c r="M47" s="2794"/>
      <c r="N47" s="2794"/>
    </row>
  </sheetData>
  <mergeCells count="7">
    <mergeCell ref="A47:N47"/>
    <mergeCell ref="A19:E19"/>
    <mergeCell ref="A20:A21"/>
    <mergeCell ref="B20:C20"/>
    <mergeCell ref="D20:D21"/>
    <mergeCell ref="E20:E21"/>
    <mergeCell ref="A46:E46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90" firstPageNumber="41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S31"/>
  <sheetViews>
    <sheetView rightToLeft="1" zoomScale="85" zoomScaleNormal="85" workbookViewId="0">
      <selection activeCell="C20" sqref="C20"/>
    </sheetView>
  </sheetViews>
  <sheetFormatPr defaultColWidth="15.375" defaultRowHeight="22.5" x14ac:dyDescent="0.55000000000000004"/>
  <cols>
    <col min="1" max="1" width="19.25" style="450" customWidth="1"/>
    <col min="2" max="2" width="11" style="450" customWidth="1"/>
    <col min="3" max="3" width="10.875" style="450" customWidth="1"/>
    <col min="4" max="4" width="11.125" style="450" customWidth="1"/>
    <col min="5" max="5" width="11" style="450" customWidth="1"/>
    <col min="6" max="6" width="10.875" style="450" customWidth="1"/>
    <col min="7" max="8" width="11.375" style="450" customWidth="1"/>
    <col min="9" max="9" width="11.125" style="450" customWidth="1"/>
    <col min="10" max="10" width="11.375" style="450" customWidth="1"/>
    <col min="11" max="11" width="10.875" style="450" customWidth="1"/>
    <col min="12" max="13" width="11.375" style="450" customWidth="1"/>
    <col min="14" max="14" width="13.25" style="450" customWidth="1"/>
    <col min="15" max="16384" width="15.375" style="450"/>
  </cols>
  <sheetData>
    <row r="1" spans="1:14" ht="24" customHeight="1" thickBot="1" x14ac:dyDescent="0.6">
      <c r="A1" s="2814" t="s">
        <v>525</v>
      </c>
      <c r="B1" s="2814"/>
      <c r="C1" s="2814"/>
      <c r="D1" s="2814"/>
      <c r="E1" s="2814"/>
      <c r="F1" s="2814"/>
      <c r="G1" s="2814"/>
      <c r="H1" s="2814"/>
      <c r="I1" s="2814"/>
      <c r="J1" s="2814"/>
      <c r="K1" s="2814"/>
      <c r="L1" s="2814"/>
      <c r="M1" s="2814"/>
      <c r="N1" s="2814"/>
    </row>
    <row r="2" spans="1:14" ht="24" customHeight="1" thickBot="1" x14ac:dyDescent="0.6">
      <c r="A2" s="451" t="s">
        <v>118</v>
      </c>
      <c r="B2" s="452" t="s">
        <v>197</v>
      </c>
      <c r="C2" s="453" t="s">
        <v>159</v>
      </c>
      <c r="D2" s="453" t="s">
        <v>160</v>
      </c>
      <c r="E2" s="453" t="s">
        <v>161</v>
      </c>
      <c r="F2" s="453" t="s">
        <v>162</v>
      </c>
      <c r="G2" s="454" t="s">
        <v>163</v>
      </c>
      <c r="H2" s="454" t="s">
        <v>164</v>
      </c>
      <c r="I2" s="453" t="s">
        <v>520</v>
      </c>
      <c r="J2" s="453" t="s">
        <v>166</v>
      </c>
      <c r="K2" s="453" t="s">
        <v>521</v>
      </c>
      <c r="L2" s="453" t="s">
        <v>168</v>
      </c>
      <c r="M2" s="453" t="s">
        <v>169</v>
      </c>
      <c r="N2" s="455" t="s">
        <v>170</v>
      </c>
    </row>
    <row r="3" spans="1:14" ht="24" customHeight="1" thickBot="1" x14ac:dyDescent="0.6">
      <c r="A3" s="456" t="s">
        <v>526</v>
      </c>
      <c r="B3" s="457">
        <v>390934</v>
      </c>
      <c r="C3" s="458">
        <v>404144</v>
      </c>
      <c r="D3" s="458">
        <v>348013</v>
      </c>
      <c r="E3" s="458">
        <v>332696</v>
      </c>
      <c r="F3" s="458">
        <v>342363</v>
      </c>
      <c r="G3" s="459">
        <v>348290</v>
      </c>
      <c r="H3" s="459">
        <v>394388</v>
      </c>
      <c r="I3" s="458">
        <v>396262</v>
      </c>
      <c r="J3" s="458">
        <v>411941</v>
      </c>
      <c r="K3" s="458">
        <v>375210</v>
      </c>
      <c r="L3" s="458">
        <v>382899</v>
      </c>
      <c r="M3" s="458">
        <v>362063</v>
      </c>
      <c r="N3" s="460">
        <f>SUM(B3:M3)</f>
        <v>4489203</v>
      </c>
    </row>
    <row r="4" spans="1:14" ht="24" customHeight="1" x14ac:dyDescent="0.55000000000000004">
      <c r="A4" s="461" t="s">
        <v>527</v>
      </c>
      <c r="B4" s="462">
        <v>88838</v>
      </c>
      <c r="C4" s="463">
        <v>80181</v>
      </c>
      <c r="D4" s="463">
        <v>60925</v>
      </c>
      <c r="E4" s="463">
        <v>86426</v>
      </c>
      <c r="F4" s="463">
        <v>73893</v>
      </c>
      <c r="G4" s="464">
        <v>62717</v>
      </c>
      <c r="H4" s="464">
        <v>64393</v>
      </c>
      <c r="I4" s="463">
        <v>56981</v>
      </c>
      <c r="J4" s="463">
        <v>52396</v>
      </c>
      <c r="K4" s="463">
        <v>57926</v>
      </c>
      <c r="L4" s="463">
        <v>66668</v>
      </c>
      <c r="M4" s="463">
        <v>65231</v>
      </c>
      <c r="N4" s="465">
        <f t="shared" ref="N4:N21" si="0">SUM(B4:M4)</f>
        <v>816575</v>
      </c>
    </row>
    <row r="5" spans="1:14" ht="24" customHeight="1" thickBot="1" x14ac:dyDescent="0.6">
      <c r="A5" s="461" t="s">
        <v>528</v>
      </c>
      <c r="B5" s="466">
        <v>2070120</v>
      </c>
      <c r="C5" s="467">
        <v>1754551</v>
      </c>
      <c r="D5" s="467">
        <v>1588879</v>
      </c>
      <c r="E5" s="467">
        <v>1653924</v>
      </c>
      <c r="F5" s="467">
        <v>1599694</v>
      </c>
      <c r="G5" s="468">
        <v>1889969</v>
      </c>
      <c r="H5" s="468">
        <v>1804508</v>
      </c>
      <c r="I5" s="467">
        <v>1770979</v>
      </c>
      <c r="J5" s="467">
        <v>1825794</v>
      </c>
      <c r="K5" s="467">
        <v>1844547</v>
      </c>
      <c r="L5" s="467">
        <v>1711773</v>
      </c>
      <c r="M5" s="467">
        <v>1577628</v>
      </c>
      <c r="N5" s="469">
        <f t="shared" si="0"/>
        <v>21092366</v>
      </c>
    </row>
    <row r="6" spans="1:14" ht="24" customHeight="1" thickBot="1" x14ac:dyDescent="0.6">
      <c r="A6" s="456" t="s">
        <v>529</v>
      </c>
      <c r="B6" s="457">
        <f>SUM(B4:B5)</f>
        <v>2158958</v>
      </c>
      <c r="C6" s="458">
        <f t="shared" ref="C6:M6" si="1">SUM(C4:C5)</f>
        <v>1834732</v>
      </c>
      <c r="D6" s="459">
        <f t="shared" si="1"/>
        <v>1649804</v>
      </c>
      <c r="E6" s="459">
        <f t="shared" si="1"/>
        <v>1740350</v>
      </c>
      <c r="F6" s="459">
        <f t="shared" si="1"/>
        <v>1673587</v>
      </c>
      <c r="G6" s="459">
        <f t="shared" si="1"/>
        <v>1952686</v>
      </c>
      <c r="H6" s="459">
        <f t="shared" si="1"/>
        <v>1868901</v>
      </c>
      <c r="I6" s="459">
        <f t="shared" si="1"/>
        <v>1827960</v>
      </c>
      <c r="J6" s="459">
        <f t="shared" si="1"/>
        <v>1878190</v>
      </c>
      <c r="K6" s="458">
        <f t="shared" si="1"/>
        <v>1902473</v>
      </c>
      <c r="L6" s="459">
        <f t="shared" si="1"/>
        <v>1778441</v>
      </c>
      <c r="M6" s="458">
        <f t="shared" si="1"/>
        <v>1642859</v>
      </c>
      <c r="N6" s="460">
        <f t="shared" si="0"/>
        <v>21908941</v>
      </c>
    </row>
    <row r="7" spans="1:14" ht="24" customHeight="1" thickBot="1" x14ac:dyDescent="0.6">
      <c r="A7" s="456" t="s">
        <v>530</v>
      </c>
      <c r="B7" s="457">
        <v>84705</v>
      </c>
      <c r="C7" s="458">
        <v>92952</v>
      </c>
      <c r="D7" s="459">
        <v>84832</v>
      </c>
      <c r="E7" s="458">
        <v>71192</v>
      </c>
      <c r="F7" s="459">
        <v>61056</v>
      </c>
      <c r="G7" s="459">
        <v>57651</v>
      </c>
      <c r="H7" s="459">
        <v>83370</v>
      </c>
      <c r="I7" s="458">
        <v>66859</v>
      </c>
      <c r="J7" s="459">
        <v>52399</v>
      </c>
      <c r="K7" s="458">
        <v>19435</v>
      </c>
      <c r="L7" s="459">
        <v>53886</v>
      </c>
      <c r="M7" s="458">
        <v>65787</v>
      </c>
      <c r="N7" s="460">
        <f>SUM(B7:M7)</f>
        <v>794124</v>
      </c>
    </row>
    <row r="8" spans="1:14" ht="24" customHeight="1" thickBot="1" x14ac:dyDescent="0.6">
      <c r="A8" s="470" t="s">
        <v>531</v>
      </c>
      <c r="B8" s="471">
        <v>73647</v>
      </c>
      <c r="C8" s="463">
        <v>114326</v>
      </c>
      <c r="D8" s="463">
        <v>136175</v>
      </c>
      <c r="E8" s="463">
        <v>45034</v>
      </c>
      <c r="F8" s="463">
        <v>40913</v>
      </c>
      <c r="G8" s="464">
        <v>41293</v>
      </c>
      <c r="H8" s="464">
        <v>90188</v>
      </c>
      <c r="I8" s="463">
        <v>114804</v>
      </c>
      <c r="J8" s="463">
        <v>94062</v>
      </c>
      <c r="K8" s="463">
        <v>60738</v>
      </c>
      <c r="L8" s="463">
        <v>78669</v>
      </c>
      <c r="M8" s="463">
        <v>103361</v>
      </c>
      <c r="N8" s="465">
        <f>SUM(B8:M8)</f>
        <v>993210</v>
      </c>
    </row>
    <row r="9" spans="1:14" ht="24" customHeight="1" x14ac:dyDescent="0.55000000000000004">
      <c r="A9" s="470" t="s">
        <v>532</v>
      </c>
      <c r="B9" s="462">
        <v>86385</v>
      </c>
      <c r="C9" s="463">
        <v>87251</v>
      </c>
      <c r="D9" s="464">
        <v>100103</v>
      </c>
      <c r="E9" s="463">
        <v>179443</v>
      </c>
      <c r="F9" s="464">
        <v>159321</v>
      </c>
      <c r="G9" s="464">
        <v>132178</v>
      </c>
      <c r="H9" s="464">
        <v>116159</v>
      </c>
      <c r="I9" s="463">
        <v>100522</v>
      </c>
      <c r="J9" s="464">
        <v>158218</v>
      </c>
      <c r="K9" s="463">
        <v>145750</v>
      </c>
      <c r="L9" s="464">
        <v>100750</v>
      </c>
      <c r="M9" s="463">
        <v>86299</v>
      </c>
      <c r="N9" s="465">
        <f t="shared" si="0"/>
        <v>1452379</v>
      </c>
    </row>
    <row r="10" spans="1:14" ht="24" customHeight="1" thickBot="1" x14ac:dyDescent="0.6">
      <c r="A10" s="461" t="s">
        <v>533</v>
      </c>
      <c r="B10" s="466">
        <v>14542</v>
      </c>
      <c r="C10" s="467">
        <v>21224</v>
      </c>
      <c r="D10" s="468">
        <v>25478</v>
      </c>
      <c r="E10" s="467">
        <v>23841</v>
      </c>
      <c r="F10" s="468">
        <v>19205</v>
      </c>
      <c r="G10" s="468">
        <v>17950</v>
      </c>
      <c r="H10" s="468">
        <v>27296</v>
      </c>
      <c r="I10" s="467">
        <v>25736</v>
      </c>
      <c r="J10" s="468">
        <v>24981</v>
      </c>
      <c r="K10" s="467">
        <v>19751</v>
      </c>
      <c r="L10" s="468">
        <v>22160</v>
      </c>
      <c r="M10" s="467">
        <v>18558</v>
      </c>
      <c r="N10" s="469">
        <f t="shared" si="0"/>
        <v>260722</v>
      </c>
    </row>
    <row r="11" spans="1:14" ht="24" customHeight="1" thickBot="1" x14ac:dyDescent="0.6">
      <c r="A11" s="456" t="s">
        <v>170</v>
      </c>
      <c r="B11" s="457">
        <f t="shared" ref="B11:M11" si="2">SUM(B9:B10)</f>
        <v>100927</v>
      </c>
      <c r="C11" s="458">
        <f t="shared" si="2"/>
        <v>108475</v>
      </c>
      <c r="D11" s="459">
        <f t="shared" si="2"/>
        <v>125581</v>
      </c>
      <c r="E11" s="458">
        <f t="shared" si="2"/>
        <v>203284</v>
      </c>
      <c r="F11" s="459">
        <f t="shared" si="2"/>
        <v>178526</v>
      </c>
      <c r="G11" s="459">
        <f t="shared" si="2"/>
        <v>150128</v>
      </c>
      <c r="H11" s="459">
        <f t="shared" si="2"/>
        <v>143455</v>
      </c>
      <c r="I11" s="458">
        <f t="shared" si="2"/>
        <v>126258</v>
      </c>
      <c r="J11" s="459">
        <f t="shared" si="2"/>
        <v>183199</v>
      </c>
      <c r="K11" s="458">
        <f t="shared" si="2"/>
        <v>165501</v>
      </c>
      <c r="L11" s="459">
        <f t="shared" si="2"/>
        <v>122910</v>
      </c>
      <c r="M11" s="458">
        <f t="shared" si="2"/>
        <v>104857</v>
      </c>
      <c r="N11" s="460">
        <f>SUM(B11:M11)</f>
        <v>1713101</v>
      </c>
    </row>
    <row r="12" spans="1:14" ht="24" customHeight="1" thickBot="1" x14ac:dyDescent="0.6">
      <c r="A12" s="456" t="s">
        <v>534</v>
      </c>
      <c r="B12" s="457">
        <v>93214</v>
      </c>
      <c r="C12" s="458">
        <v>79605</v>
      </c>
      <c r="D12" s="459">
        <v>89720</v>
      </c>
      <c r="E12" s="458">
        <v>47188</v>
      </c>
      <c r="F12" s="458">
        <v>45431</v>
      </c>
      <c r="G12" s="459">
        <v>90111</v>
      </c>
      <c r="H12" s="459">
        <v>91231</v>
      </c>
      <c r="I12" s="458">
        <v>60685</v>
      </c>
      <c r="J12" s="459">
        <v>67291</v>
      </c>
      <c r="K12" s="458">
        <v>79254</v>
      </c>
      <c r="L12" s="459">
        <v>81580</v>
      </c>
      <c r="M12" s="458">
        <v>54976</v>
      </c>
      <c r="N12" s="460">
        <f t="shared" si="0"/>
        <v>880286</v>
      </c>
    </row>
    <row r="13" spans="1:14" ht="24" customHeight="1" x14ac:dyDescent="0.55000000000000004">
      <c r="A13" s="461" t="s">
        <v>535</v>
      </c>
      <c r="B13" s="466">
        <v>181831</v>
      </c>
      <c r="C13" s="467">
        <v>304240</v>
      </c>
      <c r="D13" s="468">
        <v>319872</v>
      </c>
      <c r="E13" s="467">
        <v>209252</v>
      </c>
      <c r="F13" s="468">
        <v>130374</v>
      </c>
      <c r="G13" s="468">
        <v>140110</v>
      </c>
      <c r="H13" s="468">
        <v>266284</v>
      </c>
      <c r="I13" s="467">
        <v>314939</v>
      </c>
      <c r="J13" s="468">
        <v>237054</v>
      </c>
      <c r="K13" s="467">
        <v>263476</v>
      </c>
      <c r="L13" s="468">
        <v>271133</v>
      </c>
      <c r="M13" s="467">
        <v>290582</v>
      </c>
      <c r="N13" s="469">
        <f>SUM(B13:M13)</f>
        <v>2929147</v>
      </c>
    </row>
    <row r="14" spans="1:14" ht="24" customHeight="1" thickBot="1" x14ac:dyDescent="0.6">
      <c r="A14" s="472" t="s">
        <v>536</v>
      </c>
      <c r="B14" s="466">
        <v>12114</v>
      </c>
      <c r="C14" s="467">
        <v>13158</v>
      </c>
      <c r="D14" s="468">
        <v>15318</v>
      </c>
      <c r="E14" s="467">
        <v>14688</v>
      </c>
      <c r="F14" s="468">
        <v>7438</v>
      </c>
      <c r="G14" s="468">
        <v>9551</v>
      </c>
      <c r="H14" s="468">
        <v>9577</v>
      </c>
      <c r="I14" s="467">
        <v>10681</v>
      </c>
      <c r="J14" s="468">
        <v>6654</v>
      </c>
      <c r="K14" s="467">
        <v>5099</v>
      </c>
      <c r="L14" s="468">
        <v>12181</v>
      </c>
      <c r="M14" s="467">
        <v>9523</v>
      </c>
      <c r="N14" s="469">
        <f t="shared" si="0"/>
        <v>125982</v>
      </c>
    </row>
    <row r="15" spans="1:14" ht="24" customHeight="1" thickBot="1" x14ac:dyDescent="0.6">
      <c r="A15" s="456" t="s">
        <v>170</v>
      </c>
      <c r="B15" s="457">
        <f>SUM(B13:B14)</f>
        <v>193945</v>
      </c>
      <c r="C15" s="458">
        <f t="shared" ref="C15:M15" si="3">SUM(C13:C14)</f>
        <v>317398</v>
      </c>
      <c r="D15" s="459">
        <f t="shared" si="3"/>
        <v>335190</v>
      </c>
      <c r="E15" s="458">
        <f t="shared" si="3"/>
        <v>223940</v>
      </c>
      <c r="F15" s="459">
        <f t="shared" si="3"/>
        <v>137812</v>
      </c>
      <c r="G15" s="459">
        <f t="shared" si="3"/>
        <v>149661</v>
      </c>
      <c r="H15" s="459">
        <f t="shared" si="3"/>
        <v>275861</v>
      </c>
      <c r="I15" s="458">
        <f t="shared" si="3"/>
        <v>325620</v>
      </c>
      <c r="J15" s="458">
        <f t="shared" si="3"/>
        <v>243708</v>
      </c>
      <c r="K15" s="458">
        <f t="shared" si="3"/>
        <v>268575</v>
      </c>
      <c r="L15" s="459">
        <f t="shared" si="3"/>
        <v>283314</v>
      </c>
      <c r="M15" s="458">
        <f t="shared" si="3"/>
        <v>300105</v>
      </c>
      <c r="N15" s="460">
        <f>SUM(B15:M15)</f>
        <v>3055129</v>
      </c>
    </row>
    <row r="16" spans="1:14" ht="24" customHeight="1" x14ac:dyDescent="0.55000000000000004">
      <c r="A16" s="461" t="s">
        <v>537</v>
      </c>
      <c r="B16" s="466">
        <v>36929</v>
      </c>
      <c r="C16" s="467">
        <v>36279</v>
      </c>
      <c r="D16" s="468">
        <v>45469</v>
      </c>
      <c r="E16" s="467">
        <v>32641</v>
      </c>
      <c r="F16" s="468">
        <v>28851</v>
      </c>
      <c r="G16" s="468">
        <v>29897</v>
      </c>
      <c r="H16" s="468">
        <v>45648</v>
      </c>
      <c r="I16" s="467">
        <v>31972</v>
      </c>
      <c r="J16" s="467">
        <v>32886</v>
      </c>
      <c r="K16" s="467">
        <v>41838</v>
      </c>
      <c r="L16" s="468">
        <v>36725</v>
      </c>
      <c r="M16" s="467">
        <v>43170</v>
      </c>
      <c r="N16" s="469">
        <f t="shared" si="0"/>
        <v>442305</v>
      </c>
    </row>
    <row r="17" spans="1:19" ht="24" customHeight="1" x14ac:dyDescent="0.55000000000000004">
      <c r="A17" s="461" t="s">
        <v>538</v>
      </c>
      <c r="B17" s="466">
        <v>6863</v>
      </c>
      <c r="C17" s="467">
        <v>5092</v>
      </c>
      <c r="D17" s="468">
        <v>5605</v>
      </c>
      <c r="E17" s="467">
        <v>3866</v>
      </c>
      <c r="F17" s="468">
        <v>2430</v>
      </c>
      <c r="G17" s="468">
        <v>6971</v>
      </c>
      <c r="H17" s="468">
        <v>7683</v>
      </c>
      <c r="I17" s="467">
        <v>8224</v>
      </c>
      <c r="J17" s="468">
        <v>7552</v>
      </c>
      <c r="K17" s="467">
        <v>8334</v>
      </c>
      <c r="L17" s="468">
        <v>10325</v>
      </c>
      <c r="M17" s="467">
        <v>6767</v>
      </c>
      <c r="N17" s="469">
        <f t="shared" si="0"/>
        <v>79712</v>
      </c>
    </row>
    <row r="18" spans="1:19" ht="24" customHeight="1" x14ac:dyDescent="0.55000000000000004">
      <c r="A18" s="461" t="s">
        <v>539</v>
      </c>
      <c r="B18" s="466">
        <v>0</v>
      </c>
      <c r="C18" s="467">
        <v>5995</v>
      </c>
      <c r="D18" s="468">
        <v>605</v>
      </c>
      <c r="E18" s="467">
        <v>0</v>
      </c>
      <c r="F18" s="468">
        <v>0</v>
      </c>
      <c r="G18" s="468">
        <v>0</v>
      </c>
      <c r="H18" s="468">
        <v>4235</v>
      </c>
      <c r="I18" s="467">
        <v>3300</v>
      </c>
      <c r="J18" s="468">
        <v>0</v>
      </c>
      <c r="K18" s="467">
        <v>0</v>
      </c>
      <c r="L18" s="468">
        <v>0</v>
      </c>
      <c r="M18" s="467">
        <v>0</v>
      </c>
      <c r="N18" s="469">
        <f t="shared" si="0"/>
        <v>14135</v>
      </c>
    </row>
    <row r="19" spans="1:19" ht="24" customHeight="1" x14ac:dyDescent="0.55000000000000004">
      <c r="A19" s="461" t="s">
        <v>540</v>
      </c>
      <c r="B19" s="466">
        <v>79179</v>
      </c>
      <c r="C19" s="467">
        <v>65645</v>
      </c>
      <c r="D19" s="468">
        <v>70577</v>
      </c>
      <c r="E19" s="467">
        <v>76978</v>
      </c>
      <c r="F19" s="468">
        <v>125857</v>
      </c>
      <c r="G19" s="468">
        <v>126741</v>
      </c>
      <c r="H19" s="468">
        <v>176919</v>
      </c>
      <c r="I19" s="467">
        <v>168462</v>
      </c>
      <c r="J19" s="468">
        <v>163343</v>
      </c>
      <c r="K19" s="467">
        <v>222371</v>
      </c>
      <c r="L19" s="468">
        <v>232211</v>
      </c>
      <c r="M19" s="467">
        <v>193574</v>
      </c>
      <c r="N19" s="469">
        <f t="shared" si="0"/>
        <v>1701857</v>
      </c>
    </row>
    <row r="20" spans="1:19" ht="24" customHeight="1" x14ac:dyDescent="0.55000000000000004">
      <c r="A20" s="461" t="s">
        <v>541</v>
      </c>
      <c r="B20" s="466">
        <v>132215</v>
      </c>
      <c r="C20" s="467">
        <v>152379</v>
      </c>
      <c r="D20" s="468">
        <v>159321</v>
      </c>
      <c r="E20" s="467">
        <v>149882</v>
      </c>
      <c r="F20" s="468">
        <v>178459</v>
      </c>
      <c r="G20" s="468">
        <v>170685</v>
      </c>
      <c r="H20" s="468">
        <v>164629</v>
      </c>
      <c r="I20" s="467">
        <v>143512</v>
      </c>
      <c r="J20" s="468">
        <v>140771</v>
      </c>
      <c r="K20" s="467">
        <v>132302</v>
      </c>
      <c r="L20" s="468">
        <v>128418</v>
      </c>
      <c r="M20" s="467">
        <v>160463</v>
      </c>
      <c r="N20" s="469">
        <f t="shared" si="0"/>
        <v>1813036</v>
      </c>
    </row>
    <row r="21" spans="1:19" ht="24" customHeight="1" thickBot="1" x14ac:dyDescent="0.6">
      <c r="A21" s="461" t="s">
        <v>542</v>
      </c>
      <c r="B21" s="466">
        <v>202463</v>
      </c>
      <c r="C21" s="468">
        <v>226609</v>
      </c>
      <c r="D21" s="466">
        <v>224003</v>
      </c>
      <c r="E21" s="468">
        <v>212231</v>
      </c>
      <c r="F21" s="466">
        <v>236530</v>
      </c>
      <c r="G21" s="468">
        <v>199732</v>
      </c>
      <c r="H21" s="466">
        <v>216514</v>
      </c>
      <c r="I21" s="468">
        <v>222354</v>
      </c>
      <c r="J21" s="468">
        <v>191841</v>
      </c>
      <c r="K21" s="466">
        <v>191687</v>
      </c>
      <c r="L21" s="467">
        <v>198510</v>
      </c>
      <c r="M21" s="467">
        <v>196968</v>
      </c>
      <c r="N21" s="469">
        <f t="shared" si="0"/>
        <v>2519442</v>
      </c>
    </row>
    <row r="22" spans="1:19" ht="24" customHeight="1" thickBot="1" x14ac:dyDescent="0.6">
      <c r="A22" s="456" t="s">
        <v>170</v>
      </c>
      <c r="B22" s="457">
        <f>SUM(B16:B21)</f>
        <v>457649</v>
      </c>
      <c r="C22" s="459">
        <f t="shared" ref="C22:M22" si="4">SUM(C16:C21)</f>
        <v>491999</v>
      </c>
      <c r="D22" s="457">
        <f t="shared" si="4"/>
        <v>505580</v>
      </c>
      <c r="E22" s="459">
        <f t="shared" si="4"/>
        <v>475598</v>
      </c>
      <c r="F22" s="457">
        <f t="shared" si="4"/>
        <v>572127</v>
      </c>
      <c r="G22" s="459">
        <f t="shared" si="4"/>
        <v>534026</v>
      </c>
      <c r="H22" s="457">
        <f t="shared" si="4"/>
        <v>615628</v>
      </c>
      <c r="I22" s="459">
        <f t="shared" si="4"/>
        <v>577824</v>
      </c>
      <c r="J22" s="459">
        <f t="shared" si="4"/>
        <v>536393</v>
      </c>
      <c r="K22" s="457">
        <f t="shared" si="4"/>
        <v>596532</v>
      </c>
      <c r="L22" s="458">
        <f t="shared" si="4"/>
        <v>606189</v>
      </c>
      <c r="M22" s="458">
        <f t="shared" si="4"/>
        <v>600942</v>
      </c>
      <c r="N22" s="473">
        <f>SUM(N16:N21)</f>
        <v>6570487</v>
      </c>
    </row>
    <row r="23" spans="1:19" ht="24" customHeight="1" thickBot="1" x14ac:dyDescent="0.6">
      <c r="A23" s="461" t="s">
        <v>543</v>
      </c>
      <c r="B23" s="474">
        <f t="shared" ref="B23:M23" si="5">+B3+B6+B11+B12+B15+B22+B7+B8</f>
        <v>3553979</v>
      </c>
      <c r="C23" s="475">
        <f t="shared" si="5"/>
        <v>3443631</v>
      </c>
      <c r="D23" s="475">
        <f t="shared" si="5"/>
        <v>3274895</v>
      </c>
      <c r="E23" s="475">
        <f t="shared" si="5"/>
        <v>3139282</v>
      </c>
      <c r="F23" s="475">
        <f t="shared" si="5"/>
        <v>3051815</v>
      </c>
      <c r="G23" s="475">
        <f t="shared" si="5"/>
        <v>3323846</v>
      </c>
      <c r="H23" s="475">
        <f t="shared" si="5"/>
        <v>3563022</v>
      </c>
      <c r="I23" s="475">
        <f t="shared" si="5"/>
        <v>3496272</v>
      </c>
      <c r="J23" s="475">
        <f t="shared" si="5"/>
        <v>3467183</v>
      </c>
      <c r="K23" s="475">
        <f t="shared" si="5"/>
        <v>3467718</v>
      </c>
      <c r="L23" s="475">
        <f t="shared" si="5"/>
        <v>3387888</v>
      </c>
      <c r="M23" s="475">
        <f t="shared" si="5"/>
        <v>3234950</v>
      </c>
      <c r="N23" s="476">
        <f>SUM(B23:M23)</f>
        <v>40404481</v>
      </c>
    </row>
    <row r="24" spans="1:19" ht="24" customHeight="1" thickBot="1" x14ac:dyDescent="0.6">
      <c r="A24" s="477" t="s">
        <v>203</v>
      </c>
      <c r="B24" s="478">
        <v>9500</v>
      </c>
      <c r="C24" s="458">
        <v>11280</v>
      </c>
      <c r="D24" s="459">
        <v>11320</v>
      </c>
      <c r="E24" s="457">
        <v>11160</v>
      </c>
      <c r="F24" s="459">
        <v>10360</v>
      </c>
      <c r="G24" s="475">
        <v>10360</v>
      </c>
      <c r="H24" s="475">
        <v>10500</v>
      </c>
      <c r="I24" s="457">
        <v>8420</v>
      </c>
      <c r="J24" s="459">
        <v>6840</v>
      </c>
      <c r="K24" s="475">
        <v>7335</v>
      </c>
      <c r="L24" s="475">
        <v>7700</v>
      </c>
      <c r="M24" s="457">
        <v>7255</v>
      </c>
      <c r="N24" s="469">
        <f>SUM(B24:M24)</f>
        <v>112030</v>
      </c>
      <c r="O24" s="479"/>
    </row>
    <row r="25" spans="1:19" ht="24" customHeight="1" thickBot="1" x14ac:dyDescent="0.6">
      <c r="A25" s="480" t="s">
        <v>519</v>
      </c>
      <c r="B25" s="478">
        <v>11100</v>
      </c>
      <c r="C25" s="458">
        <v>10525</v>
      </c>
      <c r="D25" s="459">
        <v>9625</v>
      </c>
      <c r="E25" s="458">
        <v>8225</v>
      </c>
      <c r="F25" s="459">
        <v>8450</v>
      </c>
      <c r="G25" s="459">
        <v>8000</v>
      </c>
      <c r="H25" s="459">
        <v>8445</v>
      </c>
      <c r="I25" s="458">
        <v>10075</v>
      </c>
      <c r="J25" s="459">
        <v>10375</v>
      </c>
      <c r="K25" s="459">
        <v>10200</v>
      </c>
      <c r="L25" s="475">
        <v>9700</v>
      </c>
      <c r="M25" s="458">
        <v>10270</v>
      </c>
      <c r="N25" s="460">
        <f>SUM(B25:M25)</f>
        <v>114990</v>
      </c>
    </row>
    <row r="26" spans="1:19" ht="24" customHeight="1" thickBot="1" x14ac:dyDescent="0.6">
      <c r="A26" s="456" t="s">
        <v>33</v>
      </c>
      <c r="B26" s="481">
        <f>SUM(B23:B25)</f>
        <v>3574579</v>
      </c>
      <c r="C26" s="482">
        <f t="shared" ref="C26:K26" si="6">SUM(C23:C25)</f>
        <v>3465436</v>
      </c>
      <c r="D26" s="483">
        <f t="shared" si="6"/>
        <v>3295840</v>
      </c>
      <c r="E26" s="482">
        <f t="shared" si="6"/>
        <v>3158667</v>
      </c>
      <c r="F26" s="483">
        <f t="shared" si="6"/>
        <v>3070625</v>
      </c>
      <c r="G26" s="483">
        <f t="shared" si="6"/>
        <v>3342206</v>
      </c>
      <c r="H26" s="483">
        <f>SUM(H23:H25)</f>
        <v>3581967</v>
      </c>
      <c r="I26" s="482">
        <f t="shared" si="6"/>
        <v>3514767</v>
      </c>
      <c r="J26" s="483">
        <f t="shared" si="6"/>
        <v>3484398</v>
      </c>
      <c r="K26" s="482">
        <f t="shared" si="6"/>
        <v>3485253</v>
      </c>
      <c r="L26" s="483">
        <f>SUM(L23:L25)</f>
        <v>3405288</v>
      </c>
      <c r="M26" s="482">
        <f>SUM(M23:M25)</f>
        <v>3252475</v>
      </c>
      <c r="N26" s="460">
        <f>SUM(B26:M26)</f>
        <v>40631501</v>
      </c>
      <c r="O26" s="479"/>
    </row>
    <row r="27" spans="1:19" ht="8.25" customHeight="1" x14ac:dyDescent="0.55000000000000004">
      <c r="B27" s="479"/>
      <c r="C27" s="479"/>
      <c r="D27" s="479"/>
      <c r="E27" s="479"/>
      <c r="F27" s="479"/>
      <c r="G27" s="479"/>
      <c r="H27" s="479"/>
      <c r="I27" s="479"/>
      <c r="J27" s="479"/>
      <c r="K27" s="479"/>
      <c r="L27" s="479"/>
      <c r="M27" s="479"/>
      <c r="N27" s="479"/>
    </row>
    <row r="28" spans="1:19" ht="20.25" customHeight="1" x14ac:dyDescent="0.55000000000000004">
      <c r="A28" s="484" t="s">
        <v>544</v>
      </c>
      <c r="B28" s="485"/>
      <c r="C28" s="485"/>
      <c r="D28" s="485"/>
      <c r="E28" s="485"/>
      <c r="F28" s="485"/>
      <c r="G28" s="485"/>
      <c r="H28" s="485"/>
      <c r="I28" s="485"/>
      <c r="J28" s="485"/>
      <c r="K28" s="485"/>
      <c r="L28" s="485"/>
      <c r="M28" s="485"/>
      <c r="N28" s="485"/>
      <c r="O28" s="479"/>
    </row>
    <row r="29" spans="1:19" ht="45" customHeight="1" x14ac:dyDescent="0.55000000000000004">
      <c r="A29" s="2793" t="s">
        <v>516</v>
      </c>
      <c r="B29" s="2794"/>
      <c r="C29" s="2794"/>
      <c r="D29" s="2794"/>
      <c r="E29" s="2794"/>
      <c r="F29" s="2794"/>
      <c r="G29" s="2794"/>
      <c r="H29" s="2794"/>
      <c r="I29" s="2794"/>
      <c r="J29" s="2794"/>
      <c r="K29" s="2794"/>
      <c r="L29" s="2794"/>
      <c r="M29" s="2794"/>
      <c r="N29" s="2794"/>
      <c r="O29" s="479"/>
    </row>
    <row r="30" spans="1:19" ht="24" customHeight="1" x14ac:dyDescent="0.55000000000000004">
      <c r="B30" s="479">
        <f>+B26/1000</f>
        <v>3574.5790000000002</v>
      </c>
      <c r="C30" s="479">
        <f t="shared" ref="C30:N30" si="7">+C26/1000</f>
        <v>3465.4360000000001</v>
      </c>
      <c r="D30" s="479">
        <f t="shared" si="7"/>
        <v>3295.84</v>
      </c>
      <c r="E30" s="479">
        <f t="shared" si="7"/>
        <v>3158.6669999999999</v>
      </c>
      <c r="F30" s="479">
        <f t="shared" si="7"/>
        <v>3070.625</v>
      </c>
      <c r="G30" s="479">
        <f t="shared" si="7"/>
        <v>3342.2060000000001</v>
      </c>
      <c r="H30" s="479">
        <f t="shared" si="7"/>
        <v>3581.9670000000001</v>
      </c>
      <c r="I30" s="479">
        <f t="shared" si="7"/>
        <v>3514.7669999999998</v>
      </c>
      <c r="J30" s="479">
        <f t="shared" si="7"/>
        <v>3484.3980000000001</v>
      </c>
      <c r="K30" s="479">
        <f t="shared" si="7"/>
        <v>3485.2530000000002</v>
      </c>
      <c r="L30" s="479">
        <f t="shared" si="7"/>
        <v>3405.288</v>
      </c>
      <c r="M30" s="479">
        <f t="shared" si="7"/>
        <v>3252.4749999999999</v>
      </c>
      <c r="N30" s="479">
        <f t="shared" si="7"/>
        <v>40631.500999999997</v>
      </c>
    </row>
    <row r="31" spans="1:19" ht="24" customHeight="1" x14ac:dyDescent="0.55000000000000004">
      <c r="A31" s="486"/>
      <c r="B31" s="2815"/>
      <c r="C31" s="2815"/>
      <c r="D31" s="2815"/>
      <c r="E31" s="2815"/>
      <c r="F31" s="2815"/>
      <c r="G31" s="2815"/>
      <c r="H31" s="2815"/>
      <c r="I31" s="2815"/>
      <c r="J31" s="2815"/>
      <c r="K31" s="2815"/>
      <c r="L31" s="2815"/>
      <c r="M31" s="2815"/>
      <c r="N31" s="2815"/>
      <c r="O31" s="2815"/>
      <c r="P31" s="2815"/>
      <c r="Q31" s="2815"/>
      <c r="R31" s="2815"/>
      <c r="S31" s="2815"/>
    </row>
  </sheetData>
  <mergeCells count="3">
    <mergeCell ref="A1:N1"/>
    <mergeCell ref="A29:N29"/>
    <mergeCell ref="B31:S31"/>
  </mergeCells>
  <printOptions horizontalCentered="1" verticalCentered="1"/>
  <pageMargins left="0.27559055118110237" right="0.11811023622047245" top="0.47244094488188981" bottom="0.98425196850393704" header="0.51181102362204722" footer="0.98425196850393704"/>
  <pageSetup paperSize="9" firstPageNumber="42" pageOrder="overThenDown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AB58"/>
  <sheetViews>
    <sheetView rightToLeft="1" zoomScale="96" zoomScaleNormal="96" workbookViewId="0">
      <selection activeCell="C20" sqref="C20"/>
    </sheetView>
  </sheetViews>
  <sheetFormatPr defaultColWidth="8.625" defaultRowHeight="15.75" x14ac:dyDescent="0.4"/>
  <cols>
    <col min="1" max="1" width="16.125" style="90" bestFit="1" customWidth="1"/>
    <col min="2" max="2" width="9.125" style="90" bestFit="1" customWidth="1"/>
    <col min="3" max="6" width="9.25" style="90" bestFit="1" customWidth="1"/>
    <col min="7" max="7" width="7.75" style="90" bestFit="1" customWidth="1"/>
    <col min="8" max="8" width="9.25" style="90" bestFit="1" customWidth="1"/>
    <col min="9" max="9" width="8.25" style="90" customWidth="1"/>
    <col min="10" max="10" width="9.25" style="90" bestFit="1" customWidth="1"/>
    <col min="11" max="11" width="7.75" style="90" bestFit="1" customWidth="1"/>
    <col min="12" max="12" width="9.25" style="90" bestFit="1" customWidth="1"/>
    <col min="13" max="13" width="7.75" style="90" bestFit="1" customWidth="1"/>
    <col min="14" max="14" width="8.25" style="90" customWidth="1"/>
    <col min="15" max="17" width="7.75" style="90" bestFit="1" customWidth="1"/>
    <col min="18" max="18" width="7.75" style="90" customWidth="1"/>
    <col min="19" max="19" width="7.75" style="90" bestFit="1" customWidth="1"/>
    <col min="20" max="21" width="9.25" style="90" bestFit="1" customWidth="1"/>
    <col min="22" max="22" width="10.25" style="90" bestFit="1" customWidth="1"/>
    <col min="23" max="23" width="8.375" style="90" bestFit="1" customWidth="1"/>
    <col min="24" max="24" width="7.75" style="90" bestFit="1" customWidth="1"/>
    <col min="25" max="25" width="11.375" style="90" bestFit="1" customWidth="1"/>
    <col min="26" max="27" width="8.625" style="90"/>
    <col min="28" max="28" width="9.125" style="90" bestFit="1" customWidth="1"/>
    <col min="29" max="16384" width="8.625" style="90"/>
  </cols>
  <sheetData>
    <row r="1" spans="1:28" ht="51" customHeight="1" thickBot="1" x14ac:dyDescent="0.45">
      <c r="E1" s="487"/>
      <c r="F1" s="487"/>
      <c r="G1" s="487"/>
      <c r="I1" s="487" t="s">
        <v>545</v>
      </c>
      <c r="J1" s="487"/>
      <c r="K1" s="487"/>
      <c r="L1" s="487"/>
      <c r="N1" s="487" t="s">
        <v>546</v>
      </c>
      <c r="O1" s="487"/>
      <c r="P1" s="487"/>
      <c r="Q1" s="487"/>
      <c r="R1" s="487"/>
      <c r="S1" s="487"/>
      <c r="T1" s="487"/>
      <c r="U1" s="487"/>
      <c r="V1" s="487"/>
      <c r="W1" s="487"/>
      <c r="X1" s="487"/>
      <c r="Y1" s="487"/>
    </row>
    <row r="2" spans="1:28" ht="81" customHeight="1" thickBot="1" x14ac:dyDescent="0.45">
      <c r="A2" s="470" t="s">
        <v>118</v>
      </c>
      <c r="B2" s="488" t="s">
        <v>201</v>
      </c>
      <c r="C2" s="489" t="s">
        <v>198</v>
      </c>
      <c r="D2" s="489" t="s">
        <v>97</v>
      </c>
      <c r="E2" s="489" t="s">
        <v>102</v>
      </c>
      <c r="F2" s="489" t="s">
        <v>107</v>
      </c>
      <c r="G2" s="489" t="s">
        <v>106</v>
      </c>
      <c r="H2" s="490" t="s">
        <v>99</v>
      </c>
      <c r="I2" s="490" t="s">
        <v>111</v>
      </c>
      <c r="J2" s="490" t="s">
        <v>96</v>
      </c>
      <c r="K2" s="490" t="s">
        <v>199</v>
      </c>
      <c r="L2" s="491" t="s">
        <v>113</v>
      </c>
      <c r="M2" s="490" t="s">
        <v>200</v>
      </c>
      <c r="N2" s="489" t="s">
        <v>114</v>
      </c>
      <c r="O2" s="489" t="s">
        <v>110</v>
      </c>
      <c r="P2" s="489" t="s">
        <v>109</v>
      </c>
      <c r="Q2" s="489" t="s">
        <v>104</v>
      </c>
      <c r="R2" s="489" t="s">
        <v>108</v>
      </c>
      <c r="S2" s="489" t="s">
        <v>112</v>
      </c>
      <c r="T2" s="489" t="s">
        <v>101</v>
      </c>
      <c r="U2" s="489" t="s">
        <v>105</v>
      </c>
      <c r="V2" s="489" t="s">
        <v>202</v>
      </c>
      <c r="W2" s="492" t="s">
        <v>203</v>
      </c>
      <c r="X2" s="493" t="s">
        <v>519</v>
      </c>
      <c r="Y2" s="470" t="s">
        <v>170</v>
      </c>
    </row>
    <row r="3" spans="1:28" ht="27" customHeight="1" thickBot="1" x14ac:dyDescent="0.45">
      <c r="A3" s="494" t="s">
        <v>526</v>
      </c>
      <c r="B3" s="495">
        <v>183898</v>
      </c>
      <c r="C3" s="495">
        <v>725805</v>
      </c>
      <c r="D3" s="495">
        <v>699850</v>
      </c>
      <c r="E3" s="496">
        <v>1342279</v>
      </c>
      <c r="F3" s="495">
        <v>248685</v>
      </c>
      <c r="G3" s="495">
        <v>0</v>
      </c>
      <c r="H3" s="495">
        <v>232176</v>
      </c>
      <c r="I3" s="495">
        <v>2152</v>
      </c>
      <c r="J3" s="495">
        <v>0</v>
      </c>
      <c r="K3" s="497">
        <v>4240</v>
      </c>
      <c r="L3" s="495">
        <v>0</v>
      </c>
      <c r="M3" s="495">
        <v>385</v>
      </c>
      <c r="N3" s="497">
        <v>114</v>
      </c>
      <c r="O3" s="495">
        <v>0</v>
      </c>
      <c r="P3" s="495">
        <v>0</v>
      </c>
      <c r="Q3" s="497">
        <v>1043</v>
      </c>
      <c r="R3" s="495">
        <v>290</v>
      </c>
      <c r="S3" s="495">
        <v>4015</v>
      </c>
      <c r="T3" s="495">
        <v>1044019</v>
      </c>
      <c r="U3" s="495">
        <v>0</v>
      </c>
      <c r="V3" s="495">
        <v>252</v>
      </c>
      <c r="W3" s="497">
        <v>0</v>
      </c>
      <c r="X3" s="498">
        <v>0</v>
      </c>
      <c r="Y3" s="473">
        <f t="shared" ref="Y3:Y26" si="0">SUM(B3:X3)</f>
        <v>4489203</v>
      </c>
      <c r="Z3" s="96"/>
      <c r="AA3" s="96"/>
    </row>
    <row r="4" spans="1:28" ht="27" customHeight="1" x14ac:dyDescent="0.4">
      <c r="A4" s="499" t="s">
        <v>527</v>
      </c>
      <c r="B4" s="500">
        <v>229</v>
      </c>
      <c r="C4" s="500">
        <v>0</v>
      </c>
      <c r="D4" s="500">
        <v>0</v>
      </c>
      <c r="E4" s="500">
        <v>0</v>
      </c>
      <c r="F4" s="500">
        <v>67183</v>
      </c>
      <c r="G4" s="500">
        <v>0</v>
      </c>
      <c r="H4" s="500">
        <v>14126</v>
      </c>
      <c r="I4" s="500">
        <v>55</v>
      </c>
      <c r="J4" s="500">
        <v>400086</v>
      </c>
      <c r="K4" s="501">
        <v>92510</v>
      </c>
      <c r="L4" s="500">
        <v>4345</v>
      </c>
      <c r="M4" s="500">
        <v>125485</v>
      </c>
      <c r="N4" s="501">
        <v>358</v>
      </c>
      <c r="O4" s="500">
        <v>0</v>
      </c>
      <c r="P4" s="500">
        <v>0</v>
      </c>
      <c r="Q4" s="501">
        <v>0</v>
      </c>
      <c r="R4" s="500">
        <v>0</v>
      </c>
      <c r="S4" s="500">
        <v>0</v>
      </c>
      <c r="T4" s="500">
        <v>127</v>
      </c>
      <c r="U4" s="500">
        <v>112071</v>
      </c>
      <c r="V4" s="500">
        <v>0</v>
      </c>
      <c r="W4" s="501">
        <v>0</v>
      </c>
      <c r="X4" s="502">
        <v>0</v>
      </c>
      <c r="Y4" s="503">
        <f t="shared" si="0"/>
        <v>816575</v>
      </c>
      <c r="Z4" s="96"/>
      <c r="AA4" s="96"/>
    </row>
    <row r="5" spans="1:28" ht="27" customHeight="1" thickBot="1" x14ac:dyDescent="0.45">
      <c r="A5" s="499" t="s">
        <v>528</v>
      </c>
      <c r="B5" s="500">
        <v>151589</v>
      </c>
      <c r="C5" s="500">
        <v>0</v>
      </c>
      <c r="D5" s="500">
        <v>520011</v>
      </c>
      <c r="E5" s="500">
        <v>0</v>
      </c>
      <c r="F5" s="500">
        <v>0</v>
      </c>
      <c r="G5" s="500">
        <v>0</v>
      </c>
      <c r="H5" s="500">
        <v>19713</v>
      </c>
      <c r="I5" s="500">
        <v>55</v>
      </c>
      <c r="J5" s="500">
        <v>5345746</v>
      </c>
      <c r="K5" s="501">
        <v>0</v>
      </c>
      <c r="L5" s="500">
        <v>2187</v>
      </c>
      <c r="M5" s="500">
        <v>0</v>
      </c>
      <c r="N5" s="501">
        <v>54728</v>
      </c>
      <c r="O5" s="500">
        <v>146320</v>
      </c>
      <c r="P5" s="500">
        <v>0</v>
      </c>
      <c r="Q5" s="501">
        <v>508658</v>
      </c>
      <c r="R5" s="500">
        <v>58</v>
      </c>
      <c r="S5" s="500">
        <v>0</v>
      </c>
      <c r="T5" s="500">
        <v>3680834</v>
      </c>
      <c r="U5" s="500">
        <v>484457</v>
      </c>
      <c r="V5" s="500">
        <v>10178010</v>
      </c>
      <c r="W5" s="501">
        <v>0</v>
      </c>
      <c r="X5" s="502">
        <v>0</v>
      </c>
      <c r="Y5" s="503">
        <f t="shared" si="0"/>
        <v>21092366</v>
      </c>
      <c r="Z5" s="96"/>
      <c r="AA5" s="96"/>
    </row>
    <row r="6" spans="1:28" ht="27" customHeight="1" thickBot="1" x14ac:dyDescent="0.45">
      <c r="A6" s="494" t="s">
        <v>529</v>
      </c>
      <c r="B6" s="504">
        <f t="shared" ref="B6:V6" si="1">SUM(B4:B5)</f>
        <v>151818</v>
      </c>
      <c r="C6" s="505">
        <f t="shared" si="1"/>
        <v>0</v>
      </c>
      <c r="D6" s="505">
        <f t="shared" si="1"/>
        <v>520011</v>
      </c>
      <c r="E6" s="506">
        <f t="shared" si="1"/>
        <v>0</v>
      </c>
      <c r="F6" s="504">
        <f t="shared" si="1"/>
        <v>67183</v>
      </c>
      <c r="G6" s="504">
        <f t="shared" si="1"/>
        <v>0</v>
      </c>
      <c r="H6" s="504">
        <f t="shared" si="1"/>
        <v>33839</v>
      </c>
      <c r="I6" s="504">
        <f t="shared" si="1"/>
        <v>110</v>
      </c>
      <c r="J6" s="504">
        <f t="shared" si="1"/>
        <v>5745832</v>
      </c>
      <c r="K6" s="504">
        <f t="shared" si="1"/>
        <v>92510</v>
      </c>
      <c r="L6" s="504">
        <f t="shared" si="1"/>
        <v>6532</v>
      </c>
      <c r="M6" s="504">
        <f t="shared" si="1"/>
        <v>125485</v>
      </c>
      <c r="N6" s="504">
        <f t="shared" si="1"/>
        <v>55086</v>
      </c>
      <c r="O6" s="504">
        <f t="shared" si="1"/>
        <v>146320</v>
      </c>
      <c r="P6" s="504">
        <f t="shared" si="1"/>
        <v>0</v>
      </c>
      <c r="Q6" s="504">
        <f t="shared" si="1"/>
        <v>508658</v>
      </c>
      <c r="R6" s="504">
        <f t="shared" si="1"/>
        <v>58</v>
      </c>
      <c r="S6" s="504">
        <f t="shared" si="1"/>
        <v>0</v>
      </c>
      <c r="T6" s="504">
        <f t="shared" si="1"/>
        <v>3680961</v>
      </c>
      <c r="U6" s="504">
        <f t="shared" si="1"/>
        <v>596528</v>
      </c>
      <c r="V6" s="504">
        <f t="shared" si="1"/>
        <v>10178010</v>
      </c>
      <c r="W6" s="505">
        <v>0</v>
      </c>
      <c r="X6" s="507">
        <v>0</v>
      </c>
      <c r="Y6" s="473">
        <f t="shared" si="0"/>
        <v>21908941</v>
      </c>
      <c r="Z6" s="96"/>
      <c r="AA6" s="96"/>
    </row>
    <row r="7" spans="1:28" ht="27" customHeight="1" thickBot="1" x14ac:dyDescent="0.45">
      <c r="A7" s="499" t="s">
        <v>530</v>
      </c>
      <c r="B7" s="508">
        <v>6508</v>
      </c>
      <c r="C7" s="508">
        <v>110</v>
      </c>
      <c r="D7" s="508">
        <v>11286</v>
      </c>
      <c r="E7" s="508">
        <v>7516</v>
      </c>
      <c r="F7" s="508">
        <v>0</v>
      </c>
      <c r="G7" s="508">
        <v>0</v>
      </c>
      <c r="H7" s="508">
        <v>182647</v>
      </c>
      <c r="I7" s="508">
        <v>23885</v>
      </c>
      <c r="J7" s="508">
        <v>278901</v>
      </c>
      <c r="K7" s="509">
        <v>0</v>
      </c>
      <c r="L7" s="508">
        <v>1112</v>
      </c>
      <c r="M7" s="508">
        <v>60479</v>
      </c>
      <c r="N7" s="508">
        <v>89551</v>
      </c>
      <c r="O7" s="508">
        <v>0</v>
      </c>
      <c r="P7" s="508">
        <v>8359</v>
      </c>
      <c r="Q7" s="508">
        <v>0</v>
      </c>
      <c r="R7" s="508">
        <v>0</v>
      </c>
      <c r="S7" s="508">
        <v>123220</v>
      </c>
      <c r="T7" s="508">
        <v>0</v>
      </c>
      <c r="U7" s="508">
        <v>0</v>
      </c>
      <c r="V7" s="508">
        <v>550</v>
      </c>
      <c r="W7" s="508">
        <v>0</v>
      </c>
      <c r="X7" s="508">
        <v>0</v>
      </c>
      <c r="Y7" s="473">
        <f t="shared" si="0"/>
        <v>794124</v>
      </c>
      <c r="Z7" s="96"/>
      <c r="AA7" s="96"/>
    </row>
    <row r="8" spans="1:28" ht="27" customHeight="1" thickBot="1" x14ac:dyDescent="0.45">
      <c r="A8" s="494" t="s">
        <v>531</v>
      </c>
      <c r="B8" s="495">
        <v>134636</v>
      </c>
      <c r="C8" s="495">
        <v>81120</v>
      </c>
      <c r="D8" s="495">
        <v>129374</v>
      </c>
      <c r="E8" s="495">
        <v>12503</v>
      </c>
      <c r="F8" s="495">
        <v>3125</v>
      </c>
      <c r="G8" s="495">
        <v>49503</v>
      </c>
      <c r="H8" s="495">
        <v>42908</v>
      </c>
      <c r="I8" s="495">
        <v>792</v>
      </c>
      <c r="J8" s="495">
        <v>11885</v>
      </c>
      <c r="K8" s="497">
        <v>1099</v>
      </c>
      <c r="L8" s="495">
        <v>85027</v>
      </c>
      <c r="M8" s="495">
        <v>55016</v>
      </c>
      <c r="N8" s="495">
        <v>0</v>
      </c>
      <c r="O8" s="495">
        <v>2248</v>
      </c>
      <c r="P8" s="495">
        <v>54401</v>
      </c>
      <c r="Q8" s="497">
        <v>10983</v>
      </c>
      <c r="R8" s="495">
        <v>125996</v>
      </c>
      <c r="S8" s="495">
        <v>1045</v>
      </c>
      <c r="T8" s="495">
        <v>131</v>
      </c>
      <c r="U8" s="495">
        <v>68857</v>
      </c>
      <c r="V8" s="495">
        <v>122561</v>
      </c>
      <c r="W8" s="497">
        <v>0</v>
      </c>
      <c r="X8" s="498">
        <v>0</v>
      </c>
      <c r="Y8" s="510">
        <f t="shared" si="0"/>
        <v>993210</v>
      </c>
      <c r="Z8" s="96"/>
      <c r="AA8" s="96"/>
    </row>
    <row r="9" spans="1:28" ht="27" customHeight="1" x14ac:dyDescent="0.4">
      <c r="A9" s="499" t="s">
        <v>532</v>
      </c>
      <c r="B9" s="500">
        <v>1549</v>
      </c>
      <c r="C9" s="500">
        <v>263745</v>
      </c>
      <c r="D9" s="500">
        <v>0</v>
      </c>
      <c r="E9" s="511">
        <v>4125</v>
      </c>
      <c r="F9" s="500">
        <v>489214</v>
      </c>
      <c r="G9" s="500">
        <v>0</v>
      </c>
      <c r="H9" s="500">
        <v>641</v>
      </c>
      <c r="I9" s="500">
        <v>76490</v>
      </c>
      <c r="J9" s="500">
        <v>0</v>
      </c>
      <c r="K9" s="501">
        <v>9543</v>
      </c>
      <c r="L9" s="500">
        <v>48176</v>
      </c>
      <c r="M9" s="500">
        <v>843</v>
      </c>
      <c r="N9" s="501">
        <v>190041</v>
      </c>
      <c r="O9" s="500">
        <v>66223</v>
      </c>
      <c r="P9" s="500">
        <v>240287</v>
      </c>
      <c r="Q9" s="501">
        <v>0</v>
      </c>
      <c r="R9" s="500">
        <v>116</v>
      </c>
      <c r="S9" s="500">
        <v>935</v>
      </c>
      <c r="T9" s="500">
        <v>59240</v>
      </c>
      <c r="U9" s="500">
        <v>663</v>
      </c>
      <c r="V9" s="500">
        <v>548</v>
      </c>
      <c r="W9" s="501">
        <v>0</v>
      </c>
      <c r="X9" s="502">
        <v>0</v>
      </c>
      <c r="Y9" s="503">
        <f t="shared" si="0"/>
        <v>1452379</v>
      </c>
      <c r="Z9" s="96"/>
      <c r="AA9" s="96"/>
    </row>
    <row r="10" spans="1:28" ht="27" customHeight="1" thickBot="1" x14ac:dyDescent="0.45">
      <c r="A10" s="499" t="s">
        <v>533</v>
      </c>
      <c r="B10" s="500">
        <v>46603</v>
      </c>
      <c r="C10" s="500">
        <v>1990</v>
      </c>
      <c r="D10" s="500">
        <v>0</v>
      </c>
      <c r="E10" s="512">
        <v>2387</v>
      </c>
      <c r="F10" s="500">
        <v>9542</v>
      </c>
      <c r="G10" s="500">
        <v>0</v>
      </c>
      <c r="H10" s="500">
        <v>55828</v>
      </c>
      <c r="I10" s="500">
        <v>0</v>
      </c>
      <c r="J10" s="500">
        <v>0</v>
      </c>
      <c r="K10" s="501">
        <v>0</v>
      </c>
      <c r="L10" s="500">
        <v>70048</v>
      </c>
      <c r="M10" s="500">
        <v>3347</v>
      </c>
      <c r="N10" s="501">
        <v>53794</v>
      </c>
      <c r="O10" s="500">
        <v>5840</v>
      </c>
      <c r="P10" s="500">
        <v>0</v>
      </c>
      <c r="Q10" s="501">
        <v>9778</v>
      </c>
      <c r="R10" s="500">
        <v>134</v>
      </c>
      <c r="S10" s="500">
        <v>0</v>
      </c>
      <c r="T10" s="500">
        <v>1255</v>
      </c>
      <c r="U10" s="500">
        <v>0</v>
      </c>
      <c r="V10" s="500">
        <v>176</v>
      </c>
      <c r="W10" s="501">
        <v>0</v>
      </c>
      <c r="X10" s="502">
        <v>0</v>
      </c>
      <c r="Y10" s="503">
        <f t="shared" si="0"/>
        <v>260722</v>
      </c>
      <c r="Z10" s="96"/>
      <c r="AA10" s="96"/>
    </row>
    <row r="11" spans="1:28" ht="27" customHeight="1" thickBot="1" x14ac:dyDescent="0.45">
      <c r="A11" s="494" t="s">
        <v>170</v>
      </c>
      <c r="B11" s="504">
        <f t="shared" ref="B11:W11" si="2">SUM(B9:B10)</f>
        <v>48152</v>
      </c>
      <c r="C11" s="505">
        <f t="shared" si="2"/>
        <v>265735</v>
      </c>
      <c r="D11" s="505">
        <f t="shared" si="2"/>
        <v>0</v>
      </c>
      <c r="E11" s="506">
        <f t="shared" si="2"/>
        <v>6512</v>
      </c>
      <c r="F11" s="504">
        <f t="shared" si="2"/>
        <v>498756</v>
      </c>
      <c r="G11" s="504">
        <f t="shared" si="2"/>
        <v>0</v>
      </c>
      <c r="H11" s="504">
        <f t="shared" si="2"/>
        <v>56469</v>
      </c>
      <c r="I11" s="504">
        <f t="shared" si="2"/>
        <v>76490</v>
      </c>
      <c r="J11" s="504">
        <f t="shared" si="2"/>
        <v>0</v>
      </c>
      <c r="K11" s="504">
        <f t="shared" si="2"/>
        <v>9543</v>
      </c>
      <c r="L11" s="504">
        <f t="shared" si="2"/>
        <v>118224</v>
      </c>
      <c r="M11" s="504">
        <f t="shared" si="2"/>
        <v>4190</v>
      </c>
      <c r="N11" s="504">
        <f t="shared" si="2"/>
        <v>243835</v>
      </c>
      <c r="O11" s="504">
        <f t="shared" si="2"/>
        <v>72063</v>
      </c>
      <c r="P11" s="504">
        <f t="shared" si="2"/>
        <v>240287</v>
      </c>
      <c r="Q11" s="504">
        <f t="shared" si="2"/>
        <v>9778</v>
      </c>
      <c r="R11" s="504">
        <f t="shared" si="2"/>
        <v>250</v>
      </c>
      <c r="S11" s="504">
        <f t="shared" si="2"/>
        <v>935</v>
      </c>
      <c r="T11" s="504">
        <f t="shared" si="2"/>
        <v>60495</v>
      </c>
      <c r="U11" s="504">
        <f t="shared" si="2"/>
        <v>663</v>
      </c>
      <c r="V11" s="504">
        <f t="shared" si="2"/>
        <v>724</v>
      </c>
      <c r="W11" s="504">
        <f t="shared" si="2"/>
        <v>0</v>
      </c>
      <c r="X11" s="507">
        <v>0</v>
      </c>
      <c r="Y11" s="473">
        <f t="shared" si="0"/>
        <v>1713101</v>
      </c>
      <c r="Z11" s="96"/>
      <c r="AA11" s="96"/>
    </row>
    <row r="12" spans="1:28" ht="27" customHeight="1" thickBot="1" x14ac:dyDescent="0.45">
      <c r="A12" s="494" t="s">
        <v>534</v>
      </c>
      <c r="B12" s="495">
        <v>33170</v>
      </c>
      <c r="C12" s="495">
        <v>55</v>
      </c>
      <c r="D12" s="495">
        <v>0</v>
      </c>
      <c r="E12" s="495">
        <v>55</v>
      </c>
      <c r="F12" s="495">
        <v>552354</v>
      </c>
      <c r="G12" s="495">
        <v>1944</v>
      </c>
      <c r="H12" s="495">
        <v>30278</v>
      </c>
      <c r="I12" s="495">
        <v>0</v>
      </c>
      <c r="J12" s="495">
        <v>54</v>
      </c>
      <c r="K12" s="497">
        <v>2296</v>
      </c>
      <c r="L12" s="495">
        <v>184301</v>
      </c>
      <c r="M12" s="495">
        <v>0</v>
      </c>
      <c r="N12" s="497">
        <v>73023</v>
      </c>
      <c r="O12" s="495">
        <v>448</v>
      </c>
      <c r="P12" s="495">
        <v>0</v>
      </c>
      <c r="Q12" s="495">
        <v>0</v>
      </c>
      <c r="R12" s="495">
        <v>110</v>
      </c>
      <c r="S12" s="495">
        <v>0</v>
      </c>
      <c r="T12" s="495">
        <v>2198</v>
      </c>
      <c r="U12" s="495">
        <v>0</v>
      </c>
      <c r="V12" s="495">
        <v>0</v>
      </c>
      <c r="W12" s="497">
        <v>0</v>
      </c>
      <c r="X12" s="498">
        <v>0</v>
      </c>
      <c r="Y12" s="473">
        <f t="shared" si="0"/>
        <v>880286</v>
      </c>
      <c r="Z12" s="96"/>
      <c r="AA12" s="96"/>
    </row>
    <row r="13" spans="1:28" ht="27" customHeight="1" x14ac:dyDescent="0.4">
      <c r="A13" s="499" t="s">
        <v>535</v>
      </c>
      <c r="B13" s="500">
        <v>113119</v>
      </c>
      <c r="C13" s="500">
        <v>25</v>
      </c>
      <c r="D13" s="500">
        <v>1118968</v>
      </c>
      <c r="E13" s="500">
        <v>19285</v>
      </c>
      <c r="F13" s="500">
        <v>1032000</v>
      </c>
      <c r="G13" s="500">
        <v>101</v>
      </c>
      <c r="H13" s="500">
        <v>295584</v>
      </c>
      <c r="I13" s="500">
        <v>870</v>
      </c>
      <c r="J13" s="500">
        <v>52</v>
      </c>
      <c r="K13" s="501">
        <v>196</v>
      </c>
      <c r="L13" s="500">
        <v>953</v>
      </c>
      <c r="M13" s="500">
        <v>106</v>
      </c>
      <c r="N13" s="501">
        <v>24411</v>
      </c>
      <c r="O13" s="500">
        <v>103342</v>
      </c>
      <c r="P13" s="500">
        <v>0</v>
      </c>
      <c r="Q13" s="501">
        <v>8671</v>
      </c>
      <c r="R13" s="500">
        <v>1944</v>
      </c>
      <c r="S13" s="500">
        <v>385</v>
      </c>
      <c r="T13" s="500">
        <v>139704</v>
      </c>
      <c r="U13" s="501">
        <v>19525</v>
      </c>
      <c r="V13" s="500">
        <v>49906</v>
      </c>
      <c r="W13" s="501">
        <v>0</v>
      </c>
      <c r="X13" s="502">
        <v>0</v>
      </c>
      <c r="Y13" s="503">
        <f t="shared" si="0"/>
        <v>2929147</v>
      </c>
      <c r="Z13" s="96"/>
      <c r="AA13" s="96"/>
    </row>
    <row r="14" spans="1:28" ht="27" customHeight="1" thickBot="1" x14ac:dyDescent="0.45">
      <c r="A14" s="499" t="s">
        <v>536</v>
      </c>
      <c r="B14" s="500">
        <v>2025</v>
      </c>
      <c r="C14" s="500">
        <v>0</v>
      </c>
      <c r="D14" s="500">
        <v>0</v>
      </c>
      <c r="E14" s="500">
        <v>385</v>
      </c>
      <c r="F14" s="500">
        <v>119487</v>
      </c>
      <c r="G14" s="500">
        <v>0</v>
      </c>
      <c r="H14" s="500">
        <v>98</v>
      </c>
      <c r="I14" s="500">
        <v>0</v>
      </c>
      <c r="J14" s="500">
        <v>0</v>
      </c>
      <c r="K14" s="501">
        <v>0</v>
      </c>
      <c r="L14" s="500">
        <v>0</v>
      </c>
      <c r="M14" s="500">
        <v>0</v>
      </c>
      <c r="N14" s="501">
        <v>0</v>
      </c>
      <c r="O14" s="500">
        <v>0</v>
      </c>
      <c r="P14" s="500">
        <v>0</v>
      </c>
      <c r="Q14" s="501">
        <v>0</v>
      </c>
      <c r="R14" s="500">
        <v>0</v>
      </c>
      <c r="S14" s="500">
        <v>0</v>
      </c>
      <c r="T14" s="500">
        <v>3987</v>
      </c>
      <c r="U14" s="500">
        <v>0</v>
      </c>
      <c r="V14" s="500">
        <v>0</v>
      </c>
      <c r="W14" s="501">
        <v>0</v>
      </c>
      <c r="X14" s="502">
        <v>0</v>
      </c>
      <c r="Y14" s="503">
        <f t="shared" si="0"/>
        <v>125982</v>
      </c>
      <c r="Z14" s="96"/>
      <c r="AA14" s="96"/>
    </row>
    <row r="15" spans="1:28" ht="27" customHeight="1" thickBot="1" x14ac:dyDescent="0.6">
      <c r="A15" s="494" t="s">
        <v>170</v>
      </c>
      <c r="B15" s="504">
        <f t="shared" ref="B15:V15" si="3">SUM(B13:B14)</f>
        <v>115144</v>
      </c>
      <c r="C15" s="505">
        <f t="shared" si="3"/>
        <v>25</v>
      </c>
      <c r="D15" s="505">
        <f t="shared" si="3"/>
        <v>1118968</v>
      </c>
      <c r="E15" s="505">
        <f t="shared" si="3"/>
        <v>19670</v>
      </c>
      <c r="F15" s="504">
        <f t="shared" si="3"/>
        <v>1151487</v>
      </c>
      <c r="G15" s="504">
        <f t="shared" si="3"/>
        <v>101</v>
      </c>
      <c r="H15" s="504">
        <f t="shared" si="3"/>
        <v>295682</v>
      </c>
      <c r="I15" s="504">
        <f t="shared" si="3"/>
        <v>870</v>
      </c>
      <c r="J15" s="504">
        <f t="shared" si="3"/>
        <v>52</v>
      </c>
      <c r="K15" s="504">
        <f t="shared" si="3"/>
        <v>196</v>
      </c>
      <c r="L15" s="504">
        <f t="shared" si="3"/>
        <v>953</v>
      </c>
      <c r="M15" s="504">
        <f t="shared" si="3"/>
        <v>106</v>
      </c>
      <c r="N15" s="504">
        <f t="shared" si="3"/>
        <v>24411</v>
      </c>
      <c r="O15" s="504">
        <f t="shared" si="3"/>
        <v>103342</v>
      </c>
      <c r="P15" s="504">
        <f t="shared" si="3"/>
        <v>0</v>
      </c>
      <c r="Q15" s="504">
        <f t="shared" si="3"/>
        <v>8671</v>
      </c>
      <c r="R15" s="504">
        <f t="shared" si="3"/>
        <v>1944</v>
      </c>
      <c r="S15" s="504">
        <f t="shared" si="3"/>
        <v>385</v>
      </c>
      <c r="T15" s="504">
        <f t="shared" si="3"/>
        <v>143691</v>
      </c>
      <c r="U15" s="504">
        <f t="shared" si="3"/>
        <v>19525</v>
      </c>
      <c r="V15" s="504">
        <f t="shared" si="3"/>
        <v>49906</v>
      </c>
      <c r="W15" s="505">
        <v>0</v>
      </c>
      <c r="X15" s="507">
        <v>0</v>
      </c>
      <c r="Y15" s="473">
        <f t="shared" si="0"/>
        <v>3055129</v>
      </c>
      <c r="Z15" s="96"/>
      <c r="AA15" s="96"/>
      <c r="AB15" s="479"/>
    </row>
    <row r="16" spans="1:28" ht="23.25" customHeight="1" x14ac:dyDescent="0.4">
      <c r="A16" s="499" t="s">
        <v>537</v>
      </c>
      <c r="B16" s="500">
        <v>38342</v>
      </c>
      <c r="C16" s="500">
        <v>0</v>
      </c>
      <c r="D16" s="500">
        <v>0</v>
      </c>
      <c r="E16" s="500">
        <v>0</v>
      </c>
      <c r="F16" s="500">
        <v>79336</v>
      </c>
      <c r="G16" s="500">
        <v>0</v>
      </c>
      <c r="H16" s="500">
        <v>4714</v>
      </c>
      <c r="I16" s="500">
        <v>0</v>
      </c>
      <c r="J16" s="500">
        <v>0</v>
      </c>
      <c r="K16" s="501">
        <v>1240</v>
      </c>
      <c r="L16" s="500">
        <v>318673</v>
      </c>
      <c r="M16" s="500">
        <v>0</v>
      </c>
      <c r="N16" s="501">
        <v>0</v>
      </c>
      <c r="O16" s="500">
        <v>0</v>
      </c>
      <c r="P16" s="500">
        <v>0</v>
      </c>
      <c r="Q16" s="501">
        <v>0</v>
      </c>
      <c r="R16" s="500">
        <v>0</v>
      </c>
      <c r="S16" s="500">
        <v>0</v>
      </c>
      <c r="T16" s="500">
        <v>0</v>
      </c>
      <c r="U16" s="500">
        <v>0</v>
      </c>
      <c r="V16" s="500">
        <v>0</v>
      </c>
      <c r="W16" s="501">
        <v>0</v>
      </c>
      <c r="X16" s="502">
        <v>0</v>
      </c>
      <c r="Y16" s="503">
        <f t="shared" si="0"/>
        <v>442305</v>
      </c>
      <c r="Z16" s="96"/>
      <c r="AA16" s="96"/>
    </row>
    <row r="17" spans="1:27" ht="23.25" customHeight="1" x14ac:dyDescent="0.4">
      <c r="A17" s="499" t="s">
        <v>538</v>
      </c>
      <c r="B17" s="500">
        <v>8742</v>
      </c>
      <c r="C17" s="500">
        <v>0</v>
      </c>
      <c r="D17" s="500">
        <v>5980</v>
      </c>
      <c r="E17" s="500">
        <v>29030</v>
      </c>
      <c r="F17" s="500">
        <v>0</v>
      </c>
      <c r="G17" s="500">
        <v>0</v>
      </c>
      <c r="H17" s="500">
        <v>24120</v>
      </c>
      <c r="I17" s="500">
        <v>0</v>
      </c>
      <c r="J17" s="500">
        <v>0</v>
      </c>
      <c r="K17" s="501">
        <v>0</v>
      </c>
      <c r="L17" s="500">
        <v>20</v>
      </c>
      <c r="M17" s="500">
        <v>50</v>
      </c>
      <c r="N17" s="501">
        <v>0</v>
      </c>
      <c r="O17" s="500">
        <v>26</v>
      </c>
      <c r="P17" s="500">
        <v>0</v>
      </c>
      <c r="Q17" s="501">
        <v>1910</v>
      </c>
      <c r="R17" s="500">
        <v>0</v>
      </c>
      <c r="S17" s="500">
        <v>0</v>
      </c>
      <c r="T17" s="500">
        <v>0</v>
      </c>
      <c r="U17" s="500">
        <v>9834</v>
      </c>
      <c r="V17" s="500">
        <v>0</v>
      </c>
      <c r="W17" s="501">
        <v>0</v>
      </c>
      <c r="X17" s="502">
        <v>0</v>
      </c>
      <c r="Y17" s="503">
        <f t="shared" si="0"/>
        <v>79712</v>
      </c>
      <c r="Z17" s="96"/>
      <c r="AA17" s="96"/>
    </row>
    <row r="18" spans="1:27" ht="23.25" customHeight="1" x14ac:dyDescent="0.4">
      <c r="A18" s="499" t="s">
        <v>539</v>
      </c>
      <c r="B18" s="500">
        <v>0</v>
      </c>
      <c r="C18" s="500">
        <v>0</v>
      </c>
      <c r="D18" s="500">
        <v>0</v>
      </c>
      <c r="E18" s="500">
        <v>0</v>
      </c>
      <c r="F18" s="500">
        <v>0</v>
      </c>
      <c r="G18" s="500">
        <v>0</v>
      </c>
      <c r="H18" s="500">
        <v>0</v>
      </c>
      <c r="I18" s="500">
        <v>6600</v>
      </c>
      <c r="J18" s="500">
        <v>0</v>
      </c>
      <c r="K18" s="501">
        <v>0</v>
      </c>
      <c r="L18" s="500">
        <v>0</v>
      </c>
      <c r="M18" s="500">
        <v>0</v>
      </c>
      <c r="N18" s="501">
        <v>0</v>
      </c>
      <c r="O18" s="500">
        <v>0</v>
      </c>
      <c r="P18" s="500">
        <v>0</v>
      </c>
      <c r="Q18" s="501">
        <v>0</v>
      </c>
      <c r="R18" s="500">
        <v>0</v>
      </c>
      <c r="S18" s="500">
        <v>7535</v>
      </c>
      <c r="T18" s="500">
        <v>0</v>
      </c>
      <c r="U18" s="500">
        <v>0</v>
      </c>
      <c r="V18" s="500">
        <v>0</v>
      </c>
      <c r="W18" s="501">
        <v>0</v>
      </c>
      <c r="X18" s="502">
        <v>0</v>
      </c>
      <c r="Y18" s="503">
        <f t="shared" si="0"/>
        <v>14135</v>
      </c>
      <c r="Z18" s="96"/>
      <c r="AA18" s="96"/>
    </row>
    <row r="19" spans="1:27" ht="23.25" customHeight="1" x14ac:dyDescent="0.4">
      <c r="A19" s="499" t="s">
        <v>540</v>
      </c>
      <c r="B19" s="500">
        <v>13035</v>
      </c>
      <c r="C19" s="500">
        <v>3190</v>
      </c>
      <c r="D19" s="500">
        <v>0</v>
      </c>
      <c r="E19" s="500">
        <v>0</v>
      </c>
      <c r="F19" s="500">
        <v>0</v>
      </c>
      <c r="G19" s="500">
        <v>26082</v>
      </c>
      <c r="H19" s="500">
        <v>1659550</v>
      </c>
      <c r="I19" s="500">
        <v>0</v>
      </c>
      <c r="J19" s="500">
        <v>0</v>
      </c>
      <c r="K19" s="501">
        <v>0</v>
      </c>
      <c r="L19" s="500">
        <v>0</v>
      </c>
      <c r="M19" s="500">
        <v>0</v>
      </c>
      <c r="N19" s="501">
        <v>0</v>
      </c>
      <c r="O19" s="500">
        <v>0</v>
      </c>
      <c r="P19" s="500">
        <v>0</v>
      </c>
      <c r="Q19" s="501">
        <v>0</v>
      </c>
      <c r="R19" s="500">
        <v>0</v>
      </c>
      <c r="S19" s="500">
        <v>0</v>
      </c>
      <c r="T19" s="500">
        <v>0</v>
      </c>
      <c r="U19" s="500">
        <v>0</v>
      </c>
      <c r="V19" s="500">
        <v>0</v>
      </c>
      <c r="W19" s="501">
        <v>0</v>
      </c>
      <c r="X19" s="502">
        <v>0</v>
      </c>
      <c r="Y19" s="503">
        <f t="shared" si="0"/>
        <v>1701857</v>
      </c>
      <c r="Z19" s="96"/>
      <c r="AA19" s="96"/>
    </row>
    <row r="20" spans="1:27" ht="23.25" customHeight="1" x14ac:dyDescent="0.4">
      <c r="A20" s="499" t="s">
        <v>541</v>
      </c>
      <c r="B20" s="500">
        <v>414635</v>
      </c>
      <c r="C20" s="500">
        <v>140760</v>
      </c>
      <c r="D20" s="500">
        <v>12425</v>
      </c>
      <c r="E20" s="500">
        <v>44492</v>
      </c>
      <c r="F20" s="500">
        <v>552267</v>
      </c>
      <c r="G20" s="500">
        <v>0</v>
      </c>
      <c r="H20" s="500">
        <v>19574</v>
      </c>
      <c r="I20" s="500">
        <v>0</v>
      </c>
      <c r="J20" s="500">
        <v>104</v>
      </c>
      <c r="K20" s="501">
        <v>1215</v>
      </c>
      <c r="L20" s="500">
        <v>35183</v>
      </c>
      <c r="M20" s="500">
        <v>40414</v>
      </c>
      <c r="N20" s="501">
        <v>29108</v>
      </c>
      <c r="O20" s="500">
        <v>0</v>
      </c>
      <c r="P20" s="500">
        <v>0</v>
      </c>
      <c r="Q20" s="501">
        <v>140</v>
      </c>
      <c r="R20" s="500">
        <v>37455</v>
      </c>
      <c r="S20" s="500">
        <v>0</v>
      </c>
      <c r="T20" s="500">
        <v>482736</v>
      </c>
      <c r="U20" s="501">
        <v>2193</v>
      </c>
      <c r="V20" s="500">
        <v>335</v>
      </c>
      <c r="W20" s="501">
        <v>0</v>
      </c>
      <c r="X20" s="502">
        <v>0</v>
      </c>
      <c r="Y20" s="503">
        <f t="shared" si="0"/>
        <v>1813036</v>
      </c>
      <c r="Z20" s="96"/>
      <c r="AA20" s="96"/>
    </row>
    <row r="21" spans="1:27" ht="23.25" customHeight="1" thickBot="1" x14ac:dyDescent="0.45">
      <c r="A21" s="499" t="s">
        <v>547</v>
      </c>
      <c r="B21" s="513">
        <v>122391</v>
      </c>
      <c r="C21" s="513">
        <v>66500</v>
      </c>
      <c r="D21" s="513">
        <v>156121</v>
      </c>
      <c r="E21" s="513">
        <v>208935</v>
      </c>
      <c r="F21" s="513">
        <v>190529</v>
      </c>
      <c r="G21" s="513">
        <v>42359</v>
      </c>
      <c r="H21" s="513">
        <v>483249</v>
      </c>
      <c r="I21" s="513">
        <v>65669</v>
      </c>
      <c r="J21" s="513">
        <v>176947</v>
      </c>
      <c r="K21" s="514">
        <v>36751</v>
      </c>
      <c r="L21" s="513">
        <v>225150</v>
      </c>
      <c r="M21" s="513">
        <v>69626</v>
      </c>
      <c r="N21" s="514">
        <v>175645</v>
      </c>
      <c r="O21" s="513">
        <v>17840</v>
      </c>
      <c r="P21" s="513">
        <v>6733</v>
      </c>
      <c r="Q21" s="514">
        <v>17332</v>
      </c>
      <c r="R21" s="513">
        <v>81126</v>
      </c>
      <c r="S21" s="513">
        <v>48735</v>
      </c>
      <c r="T21" s="513">
        <v>169181</v>
      </c>
      <c r="U21" s="514">
        <v>45564</v>
      </c>
      <c r="V21" s="513">
        <v>220174</v>
      </c>
      <c r="W21" s="514">
        <v>0</v>
      </c>
      <c r="X21" s="515">
        <v>0</v>
      </c>
      <c r="Y21" s="516">
        <f t="shared" si="0"/>
        <v>2626557</v>
      </c>
      <c r="Z21" s="96"/>
      <c r="AA21" s="96"/>
    </row>
    <row r="22" spans="1:27" ht="22.5" customHeight="1" thickBot="1" x14ac:dyDescent="0.45">
      <c r="A22" s="494" t="s">
        <v>170</v>
      </c>
      <c r="B22" s="495">
        <f t="shared" ref="B22:V22" si="4">SUM(B16:B21)</f>
        <v>597145</v>
      </c>
      <c r="C22" s="495">
        <f t="shared" si="4"/>
        <v>210450</v>
      </c>
      <c r="D22" s="495">
        <f t="shared" si="4"/>
        <v>174526</v>
      </c>
      <c r="E22" s="497">
        <f t="shared" si="4"/>
        <v>282457</v>
      </c>
      <c r="F22" s="495">
        <f t="shared" si="4"/>
        <v>822132</v>
      </c>
      <c r="G22" s="495">
        <f t="shared" si="4"/>
        <v>68441</v>
      </c>
      <c r="H22" s="495">
        <f t="shared" si="4"/>
        <v>2191207</v>
      </c>
      <c r="I22" s="495">
        <f t="shared" si="4"/>
        <v>72269</v>
      </c>
      <c r="J22" s="495">
        <f t="shared" si="4"/>
        <v>177051</v>
      </c>
      <c r="K22" s="497">
        <f t="shared" si="4"/>
        <v>39206</v>
      </c>
      <c r="L22" s="495">
        <f t="shared" si="4"/>
        <v>579026</v>
      </c>
      <c r="M22" s="517">
        <f t="shared" si="4"/>
        <v>110090</v>
      </c>
      <c r="N22" s="495">
        <f t="shared" si="4"/>
        <v>204753</v>
      </c>
      <c r="O22" s="495">
        <f t="shared" si="4"/>
        <v>17866</v>
      </c>
      <c r="P22" s="495">
        <f t="shared" si="4"/>
        <v>6733</v>
      </c>
      <c r="Q22" s="495">
        <f t="shared" si="4"/>
        <v>19382</v>
      </c>
      <c r="R22" s="495">
        <f t="shared" si="4"/>
        <v>118581</v>
      </c>
      <c r="S22" s="495">
        <f t="shared" si="4"/>
        <v>56270</v>
      </c>
      <c r="T22" s="495">
        <f t="shared" si="4"/>
        <v>651917</v>
      </c>
      <c r="U22" s="495">
        <f t="shared" si="4"/>
        <v>57591</v>
      </c>
      <c r="V22" s="495">
        <f t="shared" si="4"/>
        <v>220509</v>
      </c>
      <c r="W22" s="497">
        <v>0</v>
      </c>
      <c r="X22" s="498">
        <f>SUM(X16:X21)</f>
        <v>0</v>
      </c>
      <c r="Y22" s="516">
        <f t="shared" si="0"/>
        <v>6677602</v>
      </c>
      <c r="Z22" s="96"/>
      <c r="AA22" s="96"/>
    </row>
    <row r="23" spans="1:27" ht="22.5" customHeight="1" thickBot="1" x14ac:dyDescent="0.45">
      <c r="A23" s="518" t="s">
        <v>543</v>
      </c>
      <c r="B23" s="504">
        <f t="shared" ref="B23:V23" si="5">SUM(B7,B8,B3,B6,B11,B12,B15,B22)</f>
        <v>1270471</v>
      </c>
      <c r="C23" s="504">
        <f t="shared" si="5"/>
        <v>1283300</v>
      </c>
      <c r="D23" s="504">
        <f t="shared" si="5"/>
        <v>2654015</v>
      </c>
      <c r="E23" s="504">
        <f t="shared" si="5"/>
        <v>1670992</v>
      </c>
      <c r="F23" s="504">
        <f t="shared" si="5"/>
        <v>3343722</v>
      </c>
      <c r="G23" s="504">
        <f t="shared" si="5"/>
        <v>119989</v>
      </c>
      <c r="H23" s="504">
        <f t="shared" si="5"/>
        <v>3065206</v>
      </c>
      <c r="I23" s="504">
        <f t="shared" si="5"/>
        <v>176568</v>
      </c>
      <c r="J23" s="504">
        <f t="shared" si="5"/>
        <v>6213775</v>
      </c>
      <c r="K23" s="505">
        <f t="shared" si="5"/>
        <v>149090</v>
      </c>
      <c r="L23" s="504">
        <f t="shared" si="5"/>
        <v>975175</v>
      </c>
      <c r="M23" s="504">
        <f t="shared" si="5"/>
        <v>355751</v>
      </c>
      <c r="N23" s="504">
        <f t="shared" si="5"/>
        <v>690773</v>
      </c>
      <c r="O23" s="504">
        <f t="shared" si="5"/>
        <v>342287</v>
      </c>
      <c r="P23" s="504">
        <f t="shared" si="5"/>
        <v>309780</v>
      </c>
      <c r="Q23" s="504">
        <f t="shared" si="5"/>
        <v>558515</v>
      </c>
      <c r="R23" s="504">
        <f t="shared" si="5"/>
        <v>247229</v>
      </c>
      <c r="S23" s="504">
        <f t="shared" si="5"/>
        <v>185870</v>
      </c>
      <c r="T23" s="504">
        <f t="shared" si="5"/>
        <v>5583412</v>
      </c>
      <c r="U23" s="504">
        <f t="shared" si="5"/>
        <v>743164</v>
      </c>
      <c r="V23" s="504">
        <f t="shared" si="5"/>
        <v>10572512</v>
      </c>
      <c r="W23" s="504">
        <v>0</v>
      </c>
      <c r="X23" s="504">
        <f>SUM(X7,X8,X3,X6,X11,X12,X15,X22)</f>
        <v>0</v>
      </c>
      <c r="Y23" s="503">
        <f t="shared" si="0"/>
        <v>40511596</v>
      </c>
      <c r="Z23" s="96"/>
      <c r="AA23" s="96"/>
    </row>
    <row r="24" spans="1:27" ht="22.5" customHeight="1" x14ac:dyDescent="0.4">
      <c r="A24" s="519" t="s">
        <v>203</v>
      </c>
      <c r="B24" s="520" t="s">
        <v>25</v>
      </c>
      <c r="C24" s="521" t="s">
        <v>25</v>
      </c>
      <c r="D24" s="521" t="s">
        <v>25</v>
      </c>
      <c r="E24" s="521" t="s">
        <v>25</v>
      </c>
      <c r="F24" s="521" t="s">
        <v>25</v>
      </c>
      <c r="G24" s="521" t="s">
        <v>25</v>
      </c>
      <c r="H24" s="521" t="s">
        <v>25</v>
      </c>
      <c r="I24" s="521" t="s">
        <v>25</v>
      </c>
      <c r="J24" s="521" t="s">
        <v>25</v>
      </c>
      <c r="K24" s="522" t="s">
        <v>25</v>
      </c>
      <c r="L24" s="521" t="s">
        <v>25</v>
      </c>
      <c r="M24" s="521" t="s">
        <v>25</v>
      </c>
      <c r="N24" s="521" t="s">
        <v>25</v>
      </c>
      <c r="O24" s="521" t="s">
        <v>25</v>
      </c>
      <c r="P24" s="521" t="s">
        <v>25</v>
      </c>
      <c r="Q24" s="521" t="s">
        <v>25</v>
      </c>
      <c r="R24" s="521" t="s">
        <v>25</v>
      </c>
      <c r="S24" s="521" t="s">
        <v>25</v>
      </c>
      <c r="T24" s="521" t="s">
        <v>25</v>
      </c>
      <c r="U24" s="521" t="s">
        <v>25</v>
      </c>
      <c r="V24" s="521" t="s">
        <v>25</v>
      </c>
      <c r="W24" s="523">
        <v>63980</v>
      </c>
      <c r="X24" s="524" t="s">
        <v>25</v>
      </c>
      <c r="Y24" s="525">
        <f t="shared" si="0"/>
        <v>63980</v>
      </c>
      <c r="Z24" s="96"/>
      <c r="AA24" s="96"/>
    </row>
    <row r="25" spans="1:27" ht="22.5" customHeight="1" thickBot="1" x14ac:dyDescent="0.45">
      <c r="A25" s="526" t="s">
        <v>204</v>
      </c>
      <c r="B25" s="527" t="s">
        <v>25</v>
      </c>
      <c r="C25" s="528" t="s">
        <v>25</v>
      </c>
      <c r="D25" s="528" t="s">
        <v>25</v>
      </c>
      <c r="E25" s="528" t="s">
        <v>25</v>
      </c>
      <c r="F25" s="528" t="s">
        <v>25</v>
      </c>
      <c r="G25" s="528" t="s">
        <v>25</v>
      </c>
      <c r="H25" s="528" t="s">
        <v>25</v>
      </c>
      <c r="I25" s="528" t="s">
        <v>25</v>
      </c>
      <c r="J25" s="528" t="s">
        <v>25</v>
      </c>
      <c r="K25" s="529" t="s">
        <v>25</v>
      </c>
      <c r="L25" s="528" t="s">
        <v>25</v>
      </c>
      <c r="M25" s="528" t="s">
        <v>25</v>
      </c>
      <c r="N25" s="528" t="s">
        <v>25</v>
      </c>
      <c r="O25" s="528" t="s">
        <v>25</v>
      </c>
      <c r="P25" s="528" t="s">
        <v>25</v>
      </c>
      <c r="Q25" s="528" t="s">
        <v>25</v>
      </c>
      <c r="R25" s="528" t="s">
        <v>25</v>
      </c>
      <c r="S25" s="528" t="s">
        <v>25</v>
      </c>
      <c r="T25" s="528" t="s">
        <v>25</v>
      </c>
      <c r="U25" s="528" t="s">
        <v>25</v>
      </c>
      <c r="V25" s="528" t="s">
        <v>25</v>
      </c>
      <c r="W25" s="529" t="s">
        <v>25</v>
      </c>
      <c r="X25" s="530">
        <v>55925</v>
      </c>
      <c r="Y25" s="516">
        <f t="shared" si="0"/>
        <v>55925</v>
      </c>
      <c r="Z25" s="96"/>
      <c r="AA25" s="96"/>
    </row>
    <row r="26" spans="1:27" ht="22.5" customHeight="1" thickBot="1" x14ac:dyDescent="0.45">
      <c r="A26" s="526" t="s">
        <v>33</v>
      </c>
      <c r="B26" s="531">
        <f t="shared" ref="B26:W26" si="6">SUM(B23:B24)</f>
        <v>1270471</v>
      </c>
      <c r="C26" s="437">
        <f t="shared" si="6"/>
        <v>1283300</v>
      </c>
      <c r="D26" s="436">
        <f t="shared" si="6"/>
        <v>2654015</v>
      </c>
      <c r="E26" s="437">
        <f t="shared" si="6"/>
        <v>1670992</v>
      </c>
      <c r="F26" s="436">
        <f t="shared" si="6"/>
        <v>3343722</v>
      </c>
      <c r="G26" s="436">
        <f t="shared" si="6"/>
        <v>119989</v>
      </c>
      <c r="H26" s="436">
        <f t="shared" si="6"/>
        <v>3065206</v>
      </c>
      <c r="I26" s="436">
        <f t="shared" si="6"/>
        <v>176568</v>
      </c>
      <c r="J26" s="436">
        <f t="shared" si="6"/>
        <v>6213775</v>
      </c>
      <c r="K26" s="436">
        <f t="shared" si="6"/>
        <v>149090</v>
      </c>
      <c r="L26" s="436">
        <f t="shared" si="6"/>
        <v>975175</v>
      </c>
      <c r="M26" s="436">
        <f t="shared" si="6"/>
        <v>355751</v>
      </c>
      <c r="N26" s="436">
        <f t="shared" si="6"/>
        <v>690773</v>
      </c>
      <c r="O26" s="436">
        <f t="shared" si="6"/>
        <v>342287</v>
      </c>
      <c r="P26" s="436">
        <f t="shared" si="6"/>
        <v>309780</v>
      </c>
      <c r="Q26" s="436">
        <f t="shared" si="6"/>
        <v>558515</v>
      </c>
      <c r="R26" s="436">
        <f t="shared" si="6"/>
        <v>247229</v>
      </c>
      <c r="S26" s="436">
        <f t="shared" si="6"/>
        <v>185870</v>
      </c>
      <c r="T26" s="436">
        <f t="shared" si="6"/>
        <v>5583412</v>
      </c>
      <c r="U26" s="436">
        <f t="shared" si="6"/>
        <v>743164</v>
      </c>
      <c r="V26" s="436">
        <f t="shared" si="6"/>
        <v>10572512</v>
      </c>
      <c r="W26" s="436">
        <f t="shared" si="6"/>
        <v>63980</v>
      </c>
      <c r="X26" s="436">
        <f>SUM(X23:X25)</f>
        <v>55925</v>
      </c>
      <c r="Y26" s="532">
        <f t="shared" si="0"/>
        <v>40631501</v>
      </c>
      <c r="Z26" s="96"/>
      <c r="AA26" s="96"/>
    </row>
    <row r="27" spans="1:27" ht="0.75" customHeight="1" x14ac:dyDescent="0.4"/>
    <row r="28" spans="1:27" x14ac:dyDescent="0.4">
      <c r="A28" s="533" t="s">
        <v>544</v>
      </c>
      <c r="B28" s="534"/>
      <c r="C28" s="534"/>
      <c r="D28" s="534"/>
      <c r="E28" s="534"/>
      <c r="F28" s="534"/>
      <c r="G28" s="534"/>
      <c r="H28" s="534"/>
      <c r="I28" s="534"/>
      <c r="J28" s="534"/>
      <c r="K28" s="534"/>
      <c r="L28" s="534"/>
      <c r="M28" s="534"/>
      <c r="N28" s="534"/>
      <c r="O28" s="534"/>
      <c r="P28" s="534"/>
      <c r="Q28" s="534"/>
      <c r="R28" s="534"/>
      <c r="S28" s="534"/>
      <c r="T28" s="534"/>
      <c r="U28" s="534"/>
      <c r="V28" s="534"/>
      <c r="W28" s="534"/>
      <c r="X28" s="534"/>
      <c r="Y28" s="535"/>
    </row>
    <row r="29" spans="1:27" ht="51.75" customHeight="1" x14ac:dyDescent="0.4">
      <c r="A29" s="2793" t="s">
        <v>516</v>
      </c>
      <c r="B29" s="2794"/>
      <c r="C29" s="2794"/>
      <c r="D29" s="2794"/>
      <c r="E29" s="2794"/>
      <c r="F29" s="2794"/>
      <c r="G29" s="2794"/>
      <c r="H29" s="2794"/>
      <c r="I29" s="2794"/>
      <c r="J29" s="2794"/>
      <c r="K29" s="2794"/>
      <c r="L29" s="2794"/>
      <c r="M29" s="2794"/>
      <c r="N29" s="2794"/>
      <c r="T29" s="96"/>
      <c r="Y29" s="96"/>
    </row>
    <row r="30" spans="1:27" x14ac:dyDescent="0.4">
      <c r="Y30" s="96"/>
    </row>
    <row r="31" spans="1:27" x14ac:dyDescent="0.4">
      <c r="C31" s="536"/>
    </row>
    <row r="36" spans="3:19" x14ac:dyDescent="0.4">
      <c r="C36" s="96"/>
      <c r="D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Q36" s="96"/>
      <c r="R36" s="96"/>
      <c r="S36" s="96"/>
    </row>
    <row r="37" spans="3:19" x14ac:dyDescent="0.4">
      <c r="C37" s="96"/>
      <c r="D37" s="96"/>
      <c r="H37" s="96"/>
      <c r="I37" s="96"/>
      <c r="J37" s="96"/>
      <c r="Q37" s="96"/>
      <c r="R37" s="96"/>
      <c r="S37" s="96"/>
    </row>
    <row r="38" spans="3:19" x14ac:dyDescent="0.4">
      <c r="C38" s="96"/>
      <c r="D38" s="96"/>
      <c r="F38" s="96"/>
      <c r="G38" s="96"/>
      <c r="L38" s="96"/>
      <c r="O38" s="96"/>
      <c r="Q38" s="96"/>
      <c r="R38" s="96"/>
      <c r="S38" s="96"/>
    </row>
    <row r="39" spans="3:19" x14ac:dyDescent="0.4">
      <c r="C39" s="96"/>
      <c r="D39" s="96"/>
      <c r="G39" s="96"/>
      <c r="H39" s="96"/>
      <c r="I39" s="96"/>
      <c r="L39" s="96"/>
      <c r="O39" s="96"/>
      <c r="Q39" s="96"/>
      <c r="R39" s="96"/>
      <c r="S39" s="96"/>
    </row>
    <row r="40" spans="3:19" x14ac:dyDescent="0.4">
      <c r="C40" s="96"/>
      <c r="D40" s="96"/>
      <c r="E40" s="96"/>
      <c r="H40" s="96"/>
      <c r="I40" s="96"/>
      <c r="K40" s="96"/>
      <c r="L40" s="96"/>
      <c r="M40" s="96"/>
      <c r="N40" s="96"/>
      <c r="Q40" s="96"/>
      <c r="R40" s="96"/>
      <c r="S40" s="96"/>
    </row>
    <row r="41" spans="3:19" x14ac:dyDescent="0.4">
      <c r="C41" s="96"/>
      <c r="J41" s="96"/>
      <c r="K41" s="96"/>
      <c r="R41" s="96"/>
      <c r="S41" s="96"/>
    </row>
    <row r="42" spans="3:19" x14ac:dyDescent="0.4">
      <c r="C42" s="96"/>
      <c r="D42" s="96"/>
      <c r="E42" s="96"/>
      <c r="F42" s="96"/>
      <c r="G42" s="96"/>
      <c r="I42" s="96"/>
      <c r="J42" s="96"/>
      <c r="K42" s="96"/>
      <c r="L42" s="96"/>
      <c r="N42" s="96"/>
      <c r="O42" s="96"/>
      <c r="Q42" s="96"/>
      <c r="R42" s="96"/>
      <c r="S42" s="96"/>
    </row>
    <row r="43" spans="3:19" x14ac:dyDescent="0.4">
      <c r="D43" s="96"/>
      <c r="G43" s="96"/>
      <c r="H43" s="96"/>
      <c r="P43" s="96"/>
      <c r="R43" s="96"/>
      <c r="S43" s="96"/>
    </row>
    <row r="44" spans="3:19" x14ac:dyDescent="0.4">
      <c r="C44" s="96"/>
      <c r="E44" s="96"/>
      <c r="F44" s="96"/>
      <c r="G44" s="96"/>
      <c r="R44" s="96"/>
      <c r="S44" s="96"/>
    </row>
    <row r="45" spans="3:19" x14ac:dyDescent="0.4">
      <c r="C45" s="96"/>
      <c r="D45" s="96"/>
      <c r="E45" s="96"/>
      <c r="H45" s="96"/>
      <c r="K45" s="96"/>
      <c r="N45" s="96"/>
      <c r="Q45" s="96"/>
      <c r="R45" s="96"/>
      <c r="S45" s="96"/>
    </row>
    <row r="46" spans="3:19" x14ac:dyDescent="0.4">
      <c r="C46" s="96"/>
      <c r="E46" s="96"/>
      <c r="F46" s="96"/>
      <c r="G46" s="96"/>
      <c r="H46" s="96"/>
      <c r="I46" s="96"/>
      <c r="K46" s="96"/>
      <c r="N46" s="96"/>
      <c r="Q46" s="96"/>
      <c r="R46" s="96"/>
      <c r="S46" s="96"/>
    </row>
    <row r="47" spans="3:19" x14ac:dyDescent="0.4">
      <c r="C47" s="96"/>
      <c r="E47" s="96"/>
      <c r="G47" s="96"/>
      <c r="I47" s="96"/>
      <c r="Q47" s="96"/>
      <c r="R47" s="96"/>
      <c r="S47" s="96"/>
    </row>
    <row r="48" spans="3:19" x14ac:dyDescent="0.4">
      <c r="F48" s="96"/>
      <c r="G48" s="96"/>
      <c r="H48" s="96"/>
      <c r="I48" s="96"/>
      <c r="K48" s="96"/>
      <c r="L48" s="96"/>
      <c r="Q48" s="96"/>
      <c r="R48" s="96"/>
      <c r="S48" s="96"/>
    </row>
    <row r="49" spans="3:19" x14ac:dyDescent="0.4">
      <c r="C49" s="96"/>
      <c r="F49" s="96"/>
      <c r="H49" s="96"/>
      <c r="I49" s="96"/>
      <c r="L49" s="96"/>
      <c r="R49" s="96"/>
      <c r="S49" s="96"/>
    </row>
    <row r="50" spans="3:19" x14ac:dyDescent="0.4">
      <c r="C50" s="96"/>
      <c r="G50" s="96"/>
      <c r="H50" s="96"/>
      <c r="R50" s="96"/>
      <c r="S50" s="96"/>
    </row>
    <row r="51" spans="3:19" x14ac:dyDescent="0.4">
      <c r="C51" s="96"/>
      <c r="D51" s="96"/>
      <c r="F51" s="96"/>
      <c r="I51" s="96"/>
      <c r="L51" s="96"/>
      <c r="O51" s="96"/>
      <c r="R51" s="96"/>
      <c r="S51" s="96"/>
    </row>
    <row r="52" spans="3:19" x14ac:dyDescent="0.4">
      <c r="C52" s="96"/>
      <c r="L52" s="96"/>
      <c r="Q52" s="96"/>
      <c r="R52" s="96"/>
      <c r="S52" s="96"/>
    </row>
    <row r="53" spans="3:19" x14ac:dyDescent="0.4">
      <c r="C53" s="96"/>
      <c r="D53" s="96"/>
      <c r="G53" s="96"/>
      <c r="P53" s="96"/>
      <c r="R53" s="96"/>
      <c r="S53" s="96"/>
    </row>
    <row r="54" spans="3:19" x14ac:dyDescent="0.4">
      <c r="D54" s="96"/>
      <c r="F54" s="96"/>
      <c r="H54" s="96"/>
      <c r="I54" s="96"/>
      <c r="K54" s="96"/>
      <c r="L54" s="96"/>
      <c r="M54" s="96"/>
      <c r="Q54" s="96"/>
      <c r="R54" s="96"/>
      <c r="S54" s="96"/>
    </row>
    <row r="55" spans="3:19" x14ac:dyDescent="0.4">
      <c r="C55" s="96"/>
      <c r="E55" s="96"/>
      <c r="F55" s="96"/>
      <c r="L55" s="96"/>
      <c r="O55" s="96"/>
      <c r="Q55" s="96"/>
      <c r="R55" s="96"/>
      <c r="S55" s="96"/>
    </row>
    <row r="56" spans="3:19" x14ac:dyDescent="0.4">
      <c r="C56" s="96"/>
      <c r="F56" s="96"/>
      <c r="L56" s="96"/>
      <c r="R56" s="96"/>
      <c r="S56" s="96"/>
    </row>
    <row r="57" spans="3:19" x14ac:dyDescent="0.4">
      <c r="S57" s="96"/>
    </row>
    <row r="58" spans="3:19" x14ac:dyDescent="0.4"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</row>
  </sheetData>
  <mergeCells count="1">
    <mergeCell ref="A29:N29"/>
  </mergeCells>
  <printOptions horizontalCentered="1" verticalCentered="1"/>
  <pageMargins left="0.59055118110236227" right="0.59055118110236227" top="0.98425196850393704" bottom="0.98425196850393704" header="0.51181102362204722" footer="0.51181102362204722"/>
  <pageSetup paperSize="9" scale="75" firstPageNumber="44" fitToHeight="2" pageOrder="overThenDown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Z20"/>
  <sheetViews>
    <sheetView rightToLeft="1" zoomScaleNormal="100" zoomScaleSheetLayoutView="82" workbookViewId="0">
      <selection activeCell="C20" sqref="C20"/>
    </sheetView>
  </sheetViews>
  <sheetFormatPr defaultColWidth="7" defaultRowHeight="15.75" x14ac:dyDescent="0.4"/>
  <cols>
    <col min="1" max="1" width="16.375" style="90" customWidth="1"/>
    <col min="2" max="8" width="11.75" style="90" customWidth="1"/>
    <col min="9" max="25" width="5.75" style="90" customWidth="1"/>
    <col min="26" max="16384" width="7" style="90"/>
  </cols>
  <sheetData>
    <row r="1" spans="1:26" ht="35.25" customHeight="1" x14ac:dyDescent="0.4">
      <c r="A1" s="2774" t="s">
        <v>548</v>
      </c>
      <c r="B1" s="2774"/>
      <c r="C1" s="2774"/>
      <c r="D1" s="2774"/>
      <c r="E1" s="2774"/>
      <c r="F1" s="2774"/>
      <c r="G1" s="2774"/>
      <c r="H1" s="2774"/>
    </row>
    <row r="2" spans="1:26" ht="21.75" thickBot="1" x14ac:dyDescent="0.45">
      <c r="A2" s="2816" t="s">
        <v>549</v>
      </c>
      <c r="B2" s="2816"/>
      <c r="C2" s="2816"/>
      <c r="D2" s="2816"/>
      <c r="E2" s="2816"/>
      <c r="F2" s="2816"/>
      <c r="G2" s="2816"/>
      <c r="H2" s="2816"/>
    </row>
    <row r="3" spans="1:26" ht="45.75" customHeight="1" thickBot="1" x14ac:dyDescent="0.45">
      <c r="A3" s="94" t="s">
        <v>118</v>
      </c>
      <c r="B3" s="92">
        <v>1397</v>
      </c>
      <c r="C3" s="92">
        <v>1398</v>
      </c>
      <c r="D3" s="92">
        <v>1399</v>
      </c>
      <c r="E3" s="93">
        <v>1400</v>
      </c>
      <c r="F3" s="537">
        <v>1401</v>
      </c>
      <c r="G3" s="537">
        <v>1402</v>
      </c>
      <c r="H3" s="537">
        <v>1403</v>
      </c>
    </row>
    <row r="4" spans="1:26" ht="33.75" customHeight="1" x14ac:dyDescent="0.4">
      <c r="A4" s="538" t="s">
        <v>550</v>
      </c>
      <c r="B4" s="539">
        <v>3725</v>
      </c>
      <c r="C4" s="539">
        <v>3994</v>
      </c>
      <c r="D4" s="539">
        <v>4540</v>
      </c>
      <c r="E4" s="540">
        <v>4537.348</v>
      </c>
      <c r="F4" s="541">
        <v>4452.107</v>
      </c>
      <c r="G4" s="541">
        <v>4063</v>
      </c>
      <c r="H4" s="542">
        <f>'44'!Y3/1000</f>
        <v>4489.2030000000004</v>
      </c>
    </row>
    <row r="5" spans="1:26" ht="33.75" customHeight="1" x14ac:dyDescent="0.4">
      <c r="A5" s="538" t="s">
        <v>551</v>
      </c>
      <c r="B5" s="543">
        <v>36315</v>
      </c>
      <c r="C5" s="543">
        <v>33579</v>
      </c>
      <c r="D5" s="543">
        <v>33658.436000000002</v>
      </c>
      <c r="E5" s="544">
        <v>29011.115000000002</v>
      </c>
      <c r="F5" s="545">
        <v>27758.35</v>
      </c>
      <c r="G5" s="545">
        <v>27239</v>
      </c>
      <c r="H5" s="546">
        <f>('44'!Y6+'44'!Y7+'44'!Y8)/1000</f>
        <v>23696.275000000001</v>
      </c>
    </row>
    <row r="6" spans="1:26" ht="33.75" customHeight="1" x14ac:dyDescent="0.4">
      <c r="A6" s="538" t="s">
        <v>552</v>
      </c>
      <c r="B6" s="543">
        <v>1587</v>
      </c>
      <c r="C6" s="543">
        <v>1614</v>
      </c>
      <c r="D6" s="543">
        <v>1964.355</v>
      </c>
      <c r="E6" s="544">
        <v>1989.932</v>
      </c>
      <c r="F6" s="545">
        <v>2000.4190000000001</v>
      </c>
      <c r="G6" s="545">
        <v>1937</v>
      </c>
      <c r="H6" s="546">
        <f>'44'!Y11/1000</f>
        <v>1713.1010000000001</v>
      </c>
      <c r="Y6" s="547"/>
      <c r="Z6" s="547"/>
    </row>
    <row r="7" spans="1:26" ht="33.75" customHeight="1" x14ac:dyDescent="0.4">
      <c r="A7" s="538" t="s">
        <v>553</v>
      </c>
      <c r="B7" s="543">
        <v>989</v>
      </c>
      <c r="C7" s="543">
        <v>875</v>
      </c>
      <c r="D7" s="543">
        <v>1021.818</v>
      </c>
      <c r="E7" s="548">
        <v>988.53200000000004</v>
      </c>
      <c r="F7" s="545">
        <v>871.20500000000004</v>
      </c>
      <c r="G7" s="545">
        <v>776</v>
      </c>
      <c r="H7" s="546">
        <f>'44'!Y12/1000</f>
        <v>880.28599999999994</v>
      </c>
    </row>
    <row r="8" spans="1:26" ht="33.75" customHeight="1" x14ac:dyDescent="0.4">
      <c r="A8" s="538" t="s">
        <v>554</v>
      </c>
      <c r="B8" s="543">
        <v>4138</v>
      </c>
      <c r="C8" s="543">
        <v>4129</v>
      </c>
      <c r="D8" s="543">
        <v>4374.3019999999997</v>
      </c>
      <c r="E8" s="544">
        <v>4223.1049999999996</v>
      </c>
      <c r="F8" s="545">
        <v>3773.24</v>
      </c>
      <c r="G8" s="545">
        <v>3282</v>
      </c>
      <c r="H8" s="546">
        <f>'44'!Y15/1000</f>
        <v>3055.1289999999999</v>
      </c>
    </row>
    <row r="9" spans="1:26" ht="33.75" customHeight="1" x14ac:dyDescent="0.4">
      <c r="A9" s="538" t="s">
        <v>555</v>
      </c>
      <c r="B9" s="543">
        <v>3566</v>
      </c>
      <c r="C9" s="543">
        <v>2550</v>
      </c>
      <c r="D9" s="543">
        <v>4797.6769999999997</v>
      </c>
      <c r="E9" s="544">
        <v>5896.7599999999939</v>
      </c>
      <c r="F9" s="545">
        <v>5316.6769999999997</v>
      </c>
      <c r="G9" s="545">
        <v>5426</v>
      </c>
      <c r="H9" s="546">
        <f>'44'!Y22/1000</f>
        <v>6677.6019999999999</v>
      </c>
    </row>
    <row r="10" spans="1:26" ht="33.75" customHeight="1" thickBot="1" x14ac:dyDescent="0.45">
      <c r="A10" s="549" t="s">
        <v>556</v>
      </c>
      <c r="B10" s="550">
        <v>158</v>
      </c>
      <c r="C10" s="550">
        <v>235</v>
      </c>
      <c r="D10" s="550">
        <v>207.68</v>
      </c>
      <c r="E10" s="551">
        <v>265.65499999999997</v>
      </c>
      <c r="F10" s="552">
        <v>266.86500000000001</v>
      </c>
      <c r="G10" s="552">
        <v>254</v>
      </c>
      <c r="H10" s="553">
        <f>('44'!Y24+'44'!Y25)/1000</f>
        <v>119.905</v>
      </c>
      <c r="J10" s="96">
        <f>+F9-F10</f>
        <v>5049.8119999999999</v>
      </c>
    </row>
    <row r="11" spans="1:26" ht="40.5" customHeight="1" thickBot="1" x14ac:dyDescent="0.45">
      <c r="A11" s="549" t="s">
        <v>170</v>
      </c>
      <c r="B11" s="550">
        <f t="shared" ref="B11:H11" si="0">SUM(B4:B10)</f>
        <v>50478</v>
      </c>
      <c r="C11" s="554">
        <f t="shared" si="0"/>
        <v>46976</v>
      </c>
      <c r="D11" s="555">
        <f t="shared" si="0"/>
        <v>50564.268000000004</v>
      </c>
      <c r="E11" s="554">
        <f t="shared" si="0"/>
        <v>46912.447</v>
      </c>
      <c r="F11" s="552">
        <f t="shared" si="0"/>
        <v>44438.86299999999</v>
      </c>
      <c r="G11" s="552">
        <f t="shared" si="0"/>
        <v>42977</v>
      </c>
      <c r="H11" s="553">
        <f t="shared" si="0"/>
        <v>40631.500999999997</v>
      </c>
    </row>
    <row r="12" spans="1:26" s="556" customFormat="1" ht="20.25" customHeight="1" x14ac:dyDescent="0.2">
      <c r="A12" s="2817" t="s">
        <v>557</v>
      </c>
      <c r="B12" s="2817"/>
      <c r="C12" s="2817"/>
      <c r="D12" s="2817"/>
      <c r="E12" s="2817"/>
      <c r="F12" s="2817"/>
    </row>
    <row r="13" spans="1:26" s="556" customFormat="1" ht="20.25" customHeight="1" x14ac:dyDescent="0.2">
      <c r="A13" s="2817" t="s">
        <v>544</v>
      </c>
      <c r="B13" s="2817"/>
      <c r="C13" s="2817"/>
      <c r="D13" s="2817"/>
      <c r="E13" s="2817"/>
      <c r="F13" s="2817"/>
      <c r="G13" s="557"/>
    </row>
    <row r="14" spans="1:26" ht="25.5" customHeight="1" x14ac:dyDescent="0.55000000000000004">
      <c r="A14" s="2818"/>
      <c r="B14" s="2818"/>
      <c r="C14" s="2818"/>
      <c r="D14" s="2818"/>
      <c r="E14" s="2818"/>
      <c r="F14" s="2818"/>
      <c r="G14" s="558"/>
    </row>
    <row r="15" spans="1:26" ht="25.5" customHeight="1" x14ac:dyDescent="0.4">
      <c r="F15" s="96"/>
    </row>
    <row r="16" spans="1:26" ht="25.5" customHeight="1" x14ac:dyDescent="0.4">
      <c r="F16" s="96"/>
      <c r="G16" s="96"/>
    </row>
    <row r="17" spans="6:7" ht="25.5" customHeight="1" x14ac:dyDescent="0.4">
      <c r="F17" s="96"/>
    </row>
    <row r="18" spans="6:7" ht="25.5" customHeight="1" x14ac:dyDescent="0.4">
      <c r="G18" s="559"/>
    </row>
    <row r="19" spans="6:7" ht="33.75" customHeight="1" x14ac:dyDescent="0.4"/>
    <row r="20" spans="6:7" ht="7.5" customHeight="1" x14ac:dyDescent="0.4"/>
  </sheetData>
  <mergeCells count="5">
    <mergeCell ref="A1:H1"/>
    <mergeCell ref="A2:H2"/>
    <mergeCell ref="A12:F12"/>
    <mergeCell ref="A13:F13"/>
    <mergeCell ref="A14:F14"/>
  </mergeCells>
  <printOptions horizontalCentered="1"/>
  <pageMargins left="0.59055118110236227" right="0.59055118110236227" top="0.74803149606299213" bottom="0.74803149606299213" header="0" footer="0"/>
  <pageSetup paperSize="9" firstPageNumber="46" pageOrder="overThenDown" orientation="portrait" r:id="rId1"/>
  <headerFooter alignWithMargins="0">
    <oddFooter xml:space="preserve">&amp;C&amp;"B Roya,Bold"&amp;12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AT65"/>
  <sheetViews>
    <sheetView rightToLeft="1" workbookViewId="0">
      <pane xSplit="1" ySplit="3" topLeftCell="I10" activePane="bottomRight" state="frozen"/>
      <selection activeCell="C20" sqref="C20"/>
      <selection pane="topRight" activeCell="C20" sqref="C20"/>
      <selection pane="bottomLeft" activeCell="C20" sqref="C20"/>
      <selection pane="bottomRight" activeCell="V12" sqref="V12"/>
    </sheetView>
  </sheetViews>
  <sheetFormatPr defaultColWidth="9" defaultRowHeight="15.75" x14ac:dyDescent="0.4"/>
  <cols>
    <col min="1" max="1" width="6.25" style="90" customWidth="1"/>
    <col min="2" max="2" width="8.125" style="90" bestFit="1" customWidth="1"/>
    <col min="3" max="3" width="11.625" style="90" bestFit="1" customWidth="1"/>
    <col min="4" max="4" width="9.625" style="90" customWidth="1"/>
    <col min="5" max="8" width="6.625" style="90" bestFit="1" customWidth="1"/>
    <col min="9" max="9" width="6.25" style="90" bestFit="1" customWidth="1"/>
    <col min="10" max="10" width="7.25" style="90" bestFit="1" customWidth="1"/>
    <col min="11" max="12" width="6.625" style="90" bestFit="1" customWidth="1"/>
    <col min="13" max="14" width="7.875" style="90" bestFit="1" customWidth="1"/>
    <col min="15" max="15" width="9.75" style="90" customWidth="1"/>
    <col min="16" max="16" width="8.625" style="90" bestFit="1" customWidth="1"/>
    <col min="17" max="17" width="7.875" style="90" bestFit="1" customWidth="1"/>
    <col min="18" max="18" width="11.625" style="90" bestFit="1" customWidth="1"/>
    <col min="19" max="24" width="10.875" style="90" bestFit="1" customWidth="1"/>
    <col min="25" max="25" width="16.625" style="90" customWidth="1"/>
    <col min="26" max="29" width="10.875" style="90" bestFit="1" customWidth="1"/>
    <col min="30" max="30" width="15.375" style="90" bestFit="1" customWidth="1"/>
    <col min="31" max="31" width="10.125" style="90" customWidth="1"/>
    <col min="32" max="32" width="11.375" style="90" customWidth="1"/>
    <col min="33" max="36" width="9" style="90" customWidth="1"/>
    <col min="37" max="37" width="9.75" style="90" customWidth="1"/>
    <col min="38" max="38" width="10.375" style="90" customWidth="1"/>
    <col min="39" max="39" width="10.25" style="90" customWidth="1"/>
    <col min="40" max="40" width="7.875" style="90" customWidth="1"/>
    <col min="41" max="41" width="7.375" style="90" customWidth="1"/>
    <col min="42" max="43" width="10.25" style="90" customWidth="1"/>
    <col min="44" max="44" width="7.875" style="90" customWidth="1"/>
    <col min="45" max="45" width="9" style="90"/>
    <col min="46" max="46" width="10.75" style="90" customWidth="1"/>
    <col min="47" max="16384" width="9" style="90"/>
  </cols>
  <sheetData>
    <row r="1" spans="1:46" ht="22.5" customHeight="1" x14ac:dyDescent="0.55000000000000004">
      <c r="A1" s="2774" t="s">
        <v>1914</v>
      </c>
      <c r="B1" s="2774"/>
      <c r="C1" s="2774"/>
      <c r="D1" s="2774"/>
      <c r="E1" s="2774"/>
      <c r="F1" s="2774"/>
      <c r="G1" s="2774"/>
      <c r="H1" s="2774"/>
      <c r="I1" s="2774"/>
      <c r="J1" s="2774"/>
      <c r="K1" s="2774"/>
      <c r="L1" s="2774"/>
      <c r="M1" s="2774"/>
      <c r="N1" s="2774"/>
      <c r="O1" s="2774"/>
      <c r="P1" s="2774"/>
      <c r="Q1" s="2774"/>
      <c r="R1" s="2774"/>
      <c r="S1" s="2774"/>
      <c r="T1" s="2774"/>
      <c r="U1" s="2774"/>
      <c r="V1" s="2774"/>
      <c r="W1" s="2774"/>
      <c r="X1" s="2774"/>
      <c r="Y1" s="2774"/>
      <c r="AB1" s="2818"/>
      <c r="AC1" s="2818"/>
      <c r="AD1" s="2818"/>
      <c r="AE1" s="2818"/>
      <c r="AF1" s="2818"/>
      <c r="AG1" s="2818"/>
      <c r="AH1" s="2818"/>
      <c r="AI1" s="2818"/>
      <c r="AJ1" s="2818"/>
      <c r="AK1" s="2818"/>
      <c r="AL1" s="2818"/>
      <c r="AM1" s="2818"/>
      <c r="AN1" s="2818"/>
      <c r="AO1" s="2818"/>
      <c r="AP1" s="2818"/>
      <c r="AQ1" s="2818"/>
      <c r="AR1" s="2818"/>
    </row>
    <row r="2" spans="1:46" ht="18.75" customHeight="1" thickBot="1" x14ac:dyDescent="0.6">
      <c r="A2" s="2819" t="s">
        <v>429</v>
      </c>
      <c r="B2" s="2819"/>
      <c r="C2" s="2819"/>
      <c r="D2" s="2819"/>
      <c r="E2" s="2819"/>
      <c r="F2" s="2819"/>
      <c r="G2" s="2819"/>
      <c r="H2" s="2819"/>
      <c r="I2" s="2819"/>
      <c r="J2" s="2819"/>
      <c r="K2" s="2819"/>
      <c r="L2" s="2819"/>
      <c r="M2" s="2819"/>
      <c r="N2" s="2819"/>
      <c r="O2" s="2819"/>
      <c r="P2" s="2819"/>
      <c r="Q2" s="2819"/>
      <c r="R2" s="2819"/>
      <c r="S2" s="2819"/>
      <c r="T2" s="2819"/>
      <c r="U2" s="2819"/>
      <c r="V2" s="2819"/>
      <c r="W2" s="2819"/>
      <c r="X2" s="2819"/>
      <c r="Y2" s="2819"/>
      <c r="AB2" s="560"/>
      <c r="AC2" s="560"/>
      <c r="AD2" s="560"/>
      <c r="AE2" s="560"/>
      <c r="AF2" s="560"/>
      <c r="AG2" s="560"/>
      <c r="AH2" s="560"/>
      <c r="AI2" s="560"/>
      <c r="AJ2" s="560"/>
      <c r="AK2" s="560"/>
      <c r="AL2" s="560"/>
      <c r="AM2" s="560"/>
      <c r="AN2" s="560"/>
      <c r="AO2" s="560"/>
      <c r="AP2" s="560"/>
      <c r="AQ2" s="560"/>
      <c r="AR2" s="560"/>
    </row>
    <row r="3" spans="1:46" s="566" customFormat="1" ht="57.75" customHeight="1" thickBot="1" x14ac:dyDescent="0.5">
      <c r="A3" s="561" t="s">
        <v>118</v>
      </c>
      <c r="B3" s="562" t="s">
        <v>107</v>
      </c>
      <c r="C3" s="563" t="s">
        <v>112</v>
      </c>
      <c r="D3" s="563" t="s">
        <v>198</v>
      </c>
      <c r="E3" s="563" t="s">
        <v>102</v>
      </c>
      <c r="F3" s="563" t="s">
        <v>199</v>
      </c>
      <c r="G3" s="563" t="s">
        <v>113</v>
      </c>
      <c r="H3" s="563" t="s">
        <v>200</v>
      </c>
      <c r="I3" s="563" t="s">
        <v>114</v>
      </c>
      <c r="J3" s="563" t="s">
        <v>99</v>
      </c>
      <c r="K3" s="563" t="s">
        <v>110</v>
      </c>
      <c r="L3" s="563" t="s">
        <v>201</v>
      </c>
      <c r="M3" s="563" t="s">
        <v>97</v>
      </c>
      <c r="N3" s="563" t="s">
        <v>202</v>
      </c>
      <c r="O3" s="563" t="s">
        <v>105</v>
      </c>
      <c r="P3" s="563" t="s">
        <v>106</v>
      </c>
      <c r="Q3" s="563" t="s">
        <v>101</v>
      </c>
      <c r="R3" s="564" t="s">
        <v>108</v>
      </c>
      <c r="S3" s="564" t="s">
        <v>111</v>
      </c>
      <c r="T3" s="564" t="s">
        <v>96</v>
      </c>
      <c r="U3" s="564" t="s">
        <v>104</v>
      </c>
      <c r="V3" s="564" t="s">
        <v>109</v>
      </c>
      <c r="W3" s="564" t="s">
        <v>558</v>
      </c>
      <c r="X3" s="565" t="s">
        <v>519</v>
      </c>
      <c r="Y3" s="561" t="s">
        <v>170</v>
      </c>
      <c r="AA3" s="567"/>
      <c r="AB3" s="567"/>
      <c r="AC3" s="568"/>
      <c r="AD3" s="568"/>
      <c r="AE3" s="568"/>
      <c r="AF3" s="568"/>
      <c r="AG3" s="568"/>
      <c r="AH3" s="568"/>
      <c r="AI3" s="568"/>
      <c r="AJ3" s="568"/>
      <c r="AK3" s="568"/>
      <c r="AL3" s="568"/>
      <c r="AM3" s="568"/>
      <c r="AN3" s="568"/>
      <c r="AO3" s="568"/>
      <c r="AP3" s="568"/>
      <c r="AQ3" s="568"/>
      <c r="AR3" s="568"/>
      <c r="AS3" s="568"/>
      <c r="AT3" s="568"/>
    </row>
    <row r="4" spans="1:46" ht="30" customHeight="1" thickBot="1" x14ac:dyDescent="0.5">
      <c r="A4" s="232" t="s">
        <v>158</v>
      </c>
      <c r="B4" s="569">
        <v>91339.322</v>
      </c>
      <c r="C4" s="570">
        <v>64768.091999999997</v>
      </c>
      <c r="D4" s="569">
        <v>78868.244999999995</v>
      </c>
      <c r="E4" s="569">
        <v>64891.75</v>
      </c>
      <c r="F4" s="570">
        <v>16367.512000000001</v>
      </c>
      <c r="G4" s="570">
        <v>33887.614000000001</v>
      </c>
      <c r="H4" s="570">
        <v>77156.717999999993</v>
      </c>
      <c r="I4" s="570">
        <v>5024.9080000000004</v>
      </c>
      <c r="J4" s="569">
        <v>67082.846999999994</v>
      </c>
      <c r="K4" s="570">
        <v>33467.783000000003</v>
      </c>
      <c r="L4" s="569">
        <v>48066.188999999998</v>
      </c>
      <c r="M4" s="569">
        <v>346272.18199999997</v>
      </c>
      <c r="N4" s="570">
        <v>434768.83899999998</v>
      </c>
      <c r="O4" s="570">
        <v>63971.042000000001</v>
      </c>
      <c r="P4" s="569">
        <v>18149.04</v>
      </c>
      <c r="Q4" s="570">
        <v>464246.04300000001</v>
      </c>
      <c r="R4" s="570">
        <v>70167.142000000007</v>
      </c>
      <c r="S4" s="570">
        <v>72576.176000000007</v>
      </c>
      <c r="T4" s="570">
        <v>469241.86800000002</v>
      </c>
      <c r="U4" s="570">
        <v>2962.067</v>
      </c>
      <c r="V4" s="570">
        <v>1608.6859999999999</v>
      </c>
      <c r="W4" s="571">
        <v>10450</v>
      </c>
      <c r="X4" s="571">
        <v>12210</v>
      </c>
      <c r="Y4" s="572">
        <f t="shared" ref="Y4:Y15" si="0">SUM(B4:X4)</f>
        <v>2547544.0649999999</v>
      </c>
      <c r="Z4" s="442"/>
      <c r="AA4" s="573"/>
      <c r="AB4" s="574"/>
      <c r="AC4" s="442"/>
      <c r="AD4" s="574"/>
      <c r="AE4" s="442"/>
      <c r="AF4" s="442"/>
      <c r="AG4" s="442"/>
      <c r="AH4" s="442"/>
      <c r="AI4" s="442"/>
      <c r="AJ4" s="442"/>
      <c r="AK4" s="442"/>
      <c r="AL4" s="442"/>
      <c r="AM4" s="442"/>
      <c r="AN4" s="442"/>
      <c r="AO4" s="442"/>
      <c r="AP4" s="442"/>
      <c r="AQ4" s="442"/>
      <c r="AR4" s="442"/>
      <c r="AS4" s="442"/>
      <c r="AT4" s="442"/>
    </row>
    <row r="5" spans="1:46" ht="30" customHeight="1" thickBot="1" x14ac:dyDescent="0.5">
      <c r="A5" s="232" t="s">
        <v>159</v>
      </c>
      <c r="B5" s="569">
        <v>87771.175000000003</v>
      </c>
      <c r="C5" s="570">
        <v>58835.64</v>
      </c>
      <c r="D5" s="569">
        <v>76300.778999999995</v>
      </c>
      <c r="E5" s="569">
        <v>64787.908000000003</v>
      </c>
      <c r="F5" s="570">
        <v>18572.694</v>
      </c>
      <c r="G5" s="570">
        <v>32196.287</v>
      </c>
      <c r="H5" s="570">
        <v>92786.616999999998</v>
      </c>
      <c r="I5" s="570">
        <v>7095.665</v>
      </c>
      <c r="J5" s="569">
        <v>80659.233999999997</v>
      </c>
      <c r="K5" s="570">
        <v>28829.484</v>
      </c>
      <c r="L5" s="569">
        <v>46300.913999999997</v>
      </c>
      <c r="M5" s="569">
        <v>340151.32699999999</v>
      </c>
      <c r="N5" s="570">
        <v>430523.97200000001</v>
      </c>
      <c r="O5" s="570">
        <v>62763.415000000001</v>
      </c>
      <c r="P5" s="569">
        <v>17672.917000000001</v>
      </c>
      <c r="Q5" s="570">
        <v>432344.36300000001</v>
      </c>
      <c r="R5" s="570">
        <v>68120.629000000001</v>
      </c>
      <c r="S5" s="570">
        <v>64015.235999999997</v>
      </c>
      <c r="T5" s="570">
        <v>422174.70799999998</v>
      </c>
      <c r="U5" s="570">
        <v>3630.5390000000002</v>
      </c>
      <c r="V5" s="570">
        <v>5154.3990000000003</v>
      </c>
      <c r="W5" s="571">
        <v>12408</v>
      </c>
      <c r="X5" s="571">
        <v>11577.5</v>
      </c>
      <c r="Y5" s="572">
        <f t="shared" si="0"/>
        <v>2464673.4019999998</v>
      </c>
      <c r="Z5" s="442"/>
      <c r="AA5" s="573"/>
      <c r="AB5" s="574"/>
      <c r="AC5" s="442"/>
      <c r="AD5" s="574"/>
      <c r="AE5" s="442"/>
      <c r="AF5" s="442"/>
      <c r="AG5" s="442"/>
      <c r="AH5" s="442"/>
      <c r="AI5" s="442"/>
      <c r="AJ5" s="442"/>
      <c r="AK5" s="442"/>
      <c r="AL5" s="442"/>
      <c r="AM5" s="442"/>
      <c r="AN5" s="442"/>
      <c r="AO5" s="442"/>
      <c r="AP5" s="442"/>
      <c r="AQ5" s="442"/>
      <c r="AR5" s="442"/>
      <c r="AS5" s="442"/>
      <c r="AT5" s="442"/>
    </row>
    <row r="6" spans="1:46" ht="37.5" customHeight="1" thickBot="1" x14ac:dyDescent="0.5">
      <c r="A6" s="232" t="s">
        <v>160</v>
      </c>
      <c r="B6" s="569">
        <v>90051.981</v>
      </c>
      <c r="C6" s="570">
        <v>57185.974999999999</v>
      </c>
      <c r="D6" s="569">
        <v>78987.014999999999</v>
      </c>
      <c r="E6" s="569">
        <v>70387.135999999999</v>
      </c>
      <c r="F6" s="570">
        <v>21920.016</v>
      </c>
      <c r="G6" s="570">
        <v>28430.937999999998</v>
      </c>
      <c r="H6" s="570">
        <v>82995.525999999998</v>
      </c>
      <c r="I6" s="570">
        <v>6636.1459999999997</v>
      </c>
      <c r="J6" s="569">
        <v>78125.98</v>
      </c>
      <c r="K6" s="570">
        <v>30679.581999999999</v>
      </c>
      <c r="L6" s="569">
        <v>54192.944000000003</v>
      </c>
      <c r="M6" s="569">
        <v>315778.54200000002</v>
      </c>
      <c r="N6" s="570">
        <v>386556.84700000001</v>
      </c>
      <c r="O6" s="570">
        <v>43752.419000000002</v>
      </c>
      <c r="P6" s="569">
        <v>14504.616</v>
      </c>
      <c r="Q6" s="570">
        <v>374495.25900000002</v>
      </c>
      <c r="R6" s="570">
        <v>75177.86</v>
      </c>
      <c r="S6" s="570">
        <v>63205.775000000001</v>
      </c>
      <c r="T6" s="570">
        <v>419619.61499999999</v>
      </c>
      <c r="U6" s="570">
        <v>2638.9259999999999</v>
      </c>
      <c r="V6" s="570">
        <v>6909.9979999999996</v>
      </c>
      <c r="W6" s="571">
        <v>12452</v>
      </c>
      <c r="X6" s="571">
        <v>10587.5</v>
      </c>
      <c r="Y6" s="572">
        <f t="shared" si="0"/>
        <v>2325272.5960000004</v>
      </c>
      <c r="Z6" s="442"/>
      <c r="AA6" s="573"/>
      <c r="AB6" s="574"/>
      <c r="AC6" s="442"/>
      <c r="AD6" s="574"/>
      <c r="AE6" s="442"/>
      <c r="AF6" s="442"/>
      <c r="AG6" s="575"/>
      <c r="AH6" s="575"/>
      <c r="AI6" s="442"/>
      <c r="AJ6" s="442"/>
      <c r="AK6" s="442"/>
      <c r="AL6" s="442"/>
      <c r="AM6" s="442"/>
      <c r="AN6" s="442"/>
      <c r="AO6" s="442"/>
      <c r="AP6" s="442"/>
      <c r="AQ6" s="442"/>
      <c r="AR6" s="442"/>
      <c r="AS6" s="442"/>
      <c r="AT6" s="442"/>
    </row>
    <row r="7" spans="1:46" ht="30" customHeight="1" thickBot="1" x14ac:dyDescent="0.5">
      <c r="A7" s="232" t="s">
        <v>161</v>
      </c>
      <c r="B7" s="569">
        <v>71638.14</v>
      </c>
      <c r="C7" s="570">
        <v>49671.635000000002</v>
      </c>
      <c r="D7" s="569">
        <v>69247.851999999999</v>
      </c>
      <c r="E7" s="569">
        <v>74586.478000000003</v>
      </c>
      <c r="F7" s="570">
        <v>31026.959999999999</v>
      </c>
      <c r="G7" s="570">
        <v>25651.648000000001</v>
      </c>
      <c r="H7" s="570">
        <v>87002.777000000002</v>
      </c>
      <c r="I7" s="570">
        <v>6811.4629999999997</v>
      </c>
      <c r="J7" s="569">
        <v>75359.763000000006</v>
      </c>
      <c r="K7" s="570">
        <v>32637.248</v>
      </c>
      <c r="L7" s="569">
        <v>47594.974999999999</v>
      </c>
      <c r="M7" s="569">
        <v>295542.62300000002</v>
      </c>
      <c r="N7" s="570">
        <v>396347.75</v>
      </c>
      <c r="O7" s="570">
        <v>45698.366000000002</v>
      </c>
      <c r="P7" s="569">
        <v>16847.513999999999</v>
      </c>
      <c r="Q7" s="570">
        <v>379631.15600000002</v>
      </c>
      <c r="R7" s="570">
        <v>70661.159</v>
      </c>
      <c r="S7" s="570">
        <v>55704.408000000003</v>
      </c>
      <c r="T7" s="570">
        <v>400472.78600000002</v>
      </c>
      <c r="U7" s="570">
        <v>2075.4290000000001</v>
      </c>
      <c r="V7" s="570">
        <v>10562.511</v>
      </c>
      <c r="W7" s="571">
        <v>12276</v>
      </c>
      <c r="X7" s="571">
        <v>9047.5</v>
      </c>
      <c r="Y7" s="572">
        <f t="shared" si="0"/>
        <v>2266096.1409999998</v>
      </c>
      <c r="Z7" s="442"/>
      <c r="AA7" s="573"/>
      <c r="AB7" s="574"/>
      <c r="AC7" s="442"/>
      <c r="AD7" s="574"/>
      <c r="AE7" s="442"/>
      <c r="AF7" s="442"/>
      <c r="AG7" s="575"/>
      <c r="AH7" s="442"/>
      <c r="AI7" s="442"/>
      <c r="AJ7" s="442"/>
      <c r="AK7" s="442"/>
      <c r="AL7" s="442"/>
      <c r="AM7" s="442"/>
      <c r="AN7" s="442"/>
      <c r="AO7" s="442"/>
      <c r="AP7" s="442"/>
      <c r="AQ7" s="442"/>
      <c r="AR7" s="442"/>
      <c r="AS7" s="442"/>
      <c r="AT7" s="442"/>
    </row>
    <row r="8" spans="1:46" ht="30" customHeight="1" thickBot="1" x14ac:dyDescent="0.5">
      <c r="A8" s="232" t="s">
        <v>162</v>
      </c>
      <c r="B8" s="569">
        <v>60213.779000000002</v>
      </c>
      <c r="C8" s="570">
        <v>47763.834999999999</v>
      </c>
      <c r="D8" s="569">
        <v>75350.115000000005</v>
      </c>
      <c r="E8" s="569">
        <v>70020.892999999996</v>
      </c>
      <c r="F8" s="570">
        <v>36821.466999999997</v>
      </c>
      <c r="G8" s="570">
        <v>23896.191999999999</v>
      </c>
      <c r="H8" s="570">
        <v>54807.830999999998</v>
      </c>
      <c r="I8" s="570">
        <v>7793.3829999999998</v>
      </c>
      <c r="J8" s="569">
        <v>72210.415999999997</v>
      </c>
      <c r="K8" s="570">
        <v>33787.474999999999</v>
      </c>
      <c r="L8" s="569">
        <v>44472.082000000002</v>
      </c>
      <c r="M8" s="569">
        <v>313335.61499999999</v>
      </c>
      <c r="N8" s="570">
        <v>397614.239</v>
      </c>
      <c r="O8" s="570">
        <v>56677.169000000002</v>
      </c>
      <c r="P8" s="569">
        <v>19680.96</v>
      </c>
      <c r="Q8" s="570">
        <v>404660.163</v>
      </c>
      <c r="R8" s="570">
        <v>75134.362999999998</v>
      </c>
      <c r="S8" s="570">
        <v>52071.309000000001</v>
      </c>
      <c r="T8" s="570">
        <v>307962.53899999999</v>
      </c>
      <c r="U8" s="570">
        <v>2757.5039999999999</v>
      </c>
      <c r="V8" s="570">
        <v>14342.174999999999</v>
      </c>
      <c r="W8" s="571">
        <v>11396</v>
      </c>
      <c r="X8" s="571">
        <v>9295</v>
      </c>
      <c r="Y8" s="572">
        <f t="shared" si="0"/>
        <v>2192064.5039999997</v>
      </c>
      <c r="Z8" s="442"/>
      <c r="AA8" s="573"/>
      <c r="AB8" s="574"/>
      <c r="AC8" s="442"/>
      <c r="AD8" s="574"/>
      <c r="AE8" s="442"/>
      <c r="AF8" s="442"/>
      <c r="AG8" s="575"/>
      <c r="AH8" s="442"/>
      <c r="AI8" s="442"/>
      <c r="AJ8" s="442"/>
      <c r="AK8" s="442"/>
      <c r="AL8" s="442"/>
      <c r="AM8" s="442"/>
      <c r="AN8" s="442"/>
      <c r="AO8" s="442"/>
      <c r="AP8" s="442"/>
      <c r="AQ8" s="442"/>
      <c r="AR8" s="442"/>
      <c r="AS8" s="442"/>
      <c r="AT8" s="442"/>
    </row>
    <row r="9" spans="1:46" ht="30" customHeight="1" thickBot="1" x14ac:dyDescent="0.5">
      <c r="A9" s="232" t="s">
        <v>163</v>
      </c>
      <c r="B9" s="569">
        <v>66990.544999999998</v>
      </c>
      <c r="C9" s="570">
        <v>47116.661999999997</v>
      </c>
      <c r="D9" s="569">
        <v>70787.982000000004</v>
      </c>
      <c r="E9" s="569">
        <v>76749.680999999997</v>
      </c>
      <c r="F9" s="570">
        <v>34489.802000000003</v>
      </c>
      <c r="G9" s="570">
        <v>22874.359</v>
      </c>
      <c r="H9" s="570">
        <v>62177.978000000003</v>
      </c>
      <c r="I9" s="570">
        <v>8601.6790000000001</v>
      </c>
      <c r="J9" s="569">
        <v>72851.744999999995</v>
      </c>
      <c r="K9" s="570">
        <v>38444.256000000001</v>
      </c>
      <c r="L9" s="569">
        <v>45554.006999999998</v>
      </c>
      <c r="M9" s="569">
        <v>333811.42800000001</v>
      </c>
      <c r="N9" s="570">
        <v>430070.27299999999</v>
      </c>
      <c r="O9" s="570">
        <v>38690.235000000001</v>
      </c>
      <c r="P9" s="569">
        <v>12668.855</v>
      </c>
      <c r="Q9" s="570">
        <v>405313.43099999998</v>
      </c>
      <c r="R9" s="570">
        <v>73508.061000000002</v>
      </c>
      <c r="S9" s="570">
        <v>51108.71</v>
      </c>
      <c r="T9" s="570">
        <v>383375.63</v>
      </c>
      <c r="U9" s="570">
        <v>2341.248</v>
      </c>
      <c r="V9" s="570">
        <v>7425.3969999999999</v>
      </c>
      <c r="W9" s="571">
        <v>11396</v>
      </c>
      <c r="X9" s="571">
        <v>8800</v>
      </c>
      <c r="Y9" s="572">
        <f t="shared" si="0"/>
        <v>2305147.9640000002</v>
      </c>
      <c r="Z9" s="442"/>
      <c r="AA9" s="573"/>
      <c r="AB9" s="574"/>
      <c r="AC9" s="442"/>
      <c r="AD9" s="574"/>
      <c r="AE9" s="442"/>
      <c r="AF9" s="442"/>
      <c r="AG9" s="575"/>
      <c r="AH9" s="575"/>
      <c r="AI9" s="442"/>
      <c r="AJ9" s="442"/>
      <c r="AK9" s="442"/>
      <c r="AL9" s="442"/>
      <c r="AM9" s="442"/>
      <c r="AN9" s="442"/>
      <c r="AO9" s="442"/>
      <c r="AP9" s="442"/>
      <c r="AQ9" s="442"/>
      <c r="AR9" s="442"/>
      <c r="AS9" s="442"/>
      <c r="AT9" s="442"/>
    </row>
    <row r="10" spans="1:46" ht="30" customHeight="1" thickBot="1" x14ac:dyDescent="0.5">
      <c r="A10" s="232" t="s">
        <v>164</v>
      </c>
      <c r="B10" s="569">
        <v>77410.039999999994</v>
      </c>
      <c r="C10" s="570">
        <v>45181.728999999999</v>
      </c>
      <c r="D10" s="569">
        <v>69010.27</v>
      </c>
      <c r="E10" s="569">
        <v>83137.834000000003</v>
      </c>
      <c r="F10" s="570">
        <v>33949.226999999999</v>
      </c>
      <c r="G10" s="570">
        <v>31563.449000000001</v>
      </c>
      <c r="H10" s="570">
        <v>80449.532000000007</v>
      </c>
      <c r="I10" s="570">
        <v>9864.7389999999996</v>
      </c>
      <c r="J10" s="569">
        <v>98453.994999999995</v>
      </c>
      <c r="K10" s="570">
        <v>40450.228000000003</v>
      </c>
      <c r="L10" s="569">
        <v>54579.137999999999</v>
      </c>
      <c r="M10" s="569">
        <v>319573.995</v>
      </c>
      <c r="N10" s="570">
        <v>419990.15399999998</v>
      </c>
      <c r="O10" s="570">
        <v>65308.031000000003</v>
      </c>
      <c r="P10" s="569">
        <v>20601.778999999999</v>
      </c>
      <c r="Q10" s="570">
        <v>435290.88500000001</v>
      </c>
      <c r="R10" s="570">
        <v>77090.899000000005</v>
      </c>
      <c r="S10" s="570">
        <v>48793.987000000001</v>
      </c>
      <c r="T10" s="570">
        <v>478422.16399999999</v>
      </c>
      <c r="U10" s="570">
        <v>6334.451</v>
      </c>
      <c r="V10" s="570">
        <v>7772.1859999999997</v>
      </c>
      <c r="W10" s="576"/>
      <c r="X10" s="576"/>
      <c r="Y10" s="572">
        <f t="shared" si="0"/>
        <v>2503228.7120000003</v>
      </c>
      <c r="Z10" s="442"/>
      <c r="AA10" s="573"/>
      <c r="AB10" s="574"/>
      <c r="AC10" s="442"/>
      <c r="AD10" s="574"/>
      <c r="AE10" s="442"/>
      <c r="AF10" s="442"/>
      <c r="AG10" s="575"/>
      <c r="AH10" s="442"/>
      <c r="AI10" s="442"/>
      <c r="AJ10" s="442"/>
      <c r="AK10" s="442"/>
      <c r="AL10" s="442"/>
      <c r="AM10" s="442"/>
      <c r="AN10" s="442"/>
      <c r="AO10" s="442"/>
      <c r="AP10" s="442"/>
      <c r="AQ10" s="442"/>
      <c r="AR10" s="442"/>
      <c r="AS10" s="442"/>
      <c r="AT10" s="442"/>
    </row>
    <row r="11" spans="1:46" ht="30" customHeight="1" thickBot="1" x14ac:dyDescent="0.5">
      <c r="A11" s="232" t="s">
        <v>520</v>
      </c>
      <c r="B11" s="569">
        <v>81329.358999999997</v>
      </c>
      <c r="C11" s="570">
        <v>50577.23</v>
      </c>
      <c r="D11" s="569">
        <v>73045.453999999998</v>
      </c>
      <c r="E11" s="569">
        <v>76663.123999999996</v>
      </c>
      <c r="F11" s="570">
        <v>33089.807999999997</v>
      </c>
      <c r="G11" s="570">
        <v>31699.272000000001</v>
      </c>
      <c r="H11" s="570">
        <v>65230.976000000002</v>
      </c>
      <c r="I11" s="570">
        <v>8677.5740000000005</v>
      </c>
      <c r="J11" s="569">
        <v>89874.964000000007</v>
      </c>
      <c r="K11" s="570">
        <v>35951.947</v>
      </c>
      <c r="L11" s="569">
        <v>62566.921000000002</v>
      </c>
      <c r="M11" s="569">
        <v>272736.69900000002</v>
      </c>
      <c r="N11" s="570">
        <v>415076.93900000001</v>
      </c>
      <c r="O11" s="570">
        <v>54429.065999999999</v>
      </c>
      <c r="P11" s="569">
        <v>15621.991</v>
      </c>
      <c r="Q11" s="570">
        <v>448782.49400000001</v>
      </c>
      <c r="R11" s="570">
        <v>75076.203999999998</v>
      </c>
      <c r="S11" s="570">
        <v>54905.58</v>
      </c>
      <c r="T11" s="570">
        <v>444634.18599999999</v>
      </c>
      <c r="U11" s="570">
        <v>5620.7809999999999</v>
      </c>
      <c r="V11" s="570">
        <v>888.66899999999998</v>
      </c>
      <c r="W11" s="576"/>
      <c r="X11" s="576"/>
      <c r="Y11" s="572">
        <f t="shared" si="0"/>
        <v>2396479.2379999999</v>
      </c>
      <c r="Z11" s="442"/>
      <c r="AA11" s="573"/>
      <c r="AB11" s="574"/>
      <c r="AC11" s="442"/>
      <c r="AD11" s="574"/>
      <c r="AE11" s="442"/>
      <c r="AF11" s="442"/>
      <c r="AG11" s="575"/>
      <c r="AH11" s="442"/>
      <c r="AI11" s="442"/>
      <c r="AJ11" s="442"/>
      <c r="AK11" s="442"/>
      <c r="AL11" s="442"/>
      <c r="AM11" s="442"/>
      <c r="AN11" s="442"/>
      <c r="AO11" s="442"/>
      <c r="AP11" s="442"/>
      <c r="AQ11" s="442"/>
      <c r="AR11" s="442"/>
      <c r="AS11" s="442"/>
      <c r="AT11" s="442"/>
    </row>
    <row r="12" spans="1:46" ht="30" customHeight="1" thickBot="1" x14ac:dyDescent="0.5">
      <c r="A12" s="232" t="s">
        <v>166</v>
      </c>
      <c r="B12" s="569">
        <v>84597.695999999996</v>
      </c>
      <c r="C12" s="570">
        <v>57081.942999999999</v>
      </c>
      <c r="D12" s="569">
        <v>83974.267999999996</v>
      </c>
      <c r="E12" s="569">
        <v>75913.702999999994</v>
      </c>
      <c r="F12" s="570">
        <v>36264.46</v>
      </c>
      <c r="G12" s="570">
        <v>28355.793000000001</v>
      </c>
      <c r="H12" s="570">
        <v>59605.163999999997</v>
      </c>
      <c r="I12" s="570">
        <v>7881.7550000000001</v>
      </c>
      <c r="J12" s="569">
        <v>84330.095000000001</v>
      </c>
      <c r="K12" s="570">
        <v>28401.161</v>
      </c>
      <c r="L12" s="569">
        <v>49970.21</v>
      </c>
      <c r="M12" s="569">
        <v>298302.13199999998</v>
      </c>
      <c r="N12" s="570">
        <v>410389.27100000001</v>
      </c>
      <c r="O12" s="570">
        <v>64530.633000000002</v>
      </c>
      <c r="P12" s="569">
        <v>20135.557000000001</v>
      </c>
      <c r="Q12" s="570">
        <v>441087.978</v>
      </c>
      <c r="R12" s="570">
        <v>78684.516000000003</v>
      </c>
      <c r="S12" s="570">
        <v>61533.849000000002</v>
      </c>
      <c r="T12" s="570">
        <v>391176.96600000001</v>
      </c>
      <c r="U12" s="570">
        <v>6782.7889999999998</v>
      </c>
      <c r="V12" s="570">
        <v>5746.2280000000001</v>
      </c>
      <c r="W12" s="576"/>
      <c r="X12" s="576"/>
      <c r="Y12" s="572">
        <f t="shared" si="0"/>
        <v>2374746.1669999994</v>
      </c>
      <c r="Z12" s="442"/>
      <c r="AA12" s="573"/>
      <c r="AB12" s="574"/>
      <c r="AC12" s="442"/>
      <c r="AD12" s="574"/>
      <c r="AE12" s="442"/>
      <c r="AF12" s="442"/>
      <c r="AG12" s="575"/>
      <c r="AH12" s="577"/>
      <c r="AI12" s="577"/>
      <c r="AJ12" s="577"/>
      <c r="AK12" s="442"/>
      <c r="AL12" s="442"/>
      <c r="AM12" s="442"/>
      <c r="AN12" s="442"/>
      <c r="AO12" s="442"/>
      <c r="AP12" s="442"/>
      <c r="AQ12" s="442"/>
      <c r="AR12" s="442"/>
      <c r="AS12" s="442"/>
      <c r="AT12" s="442"/>
    </row>
    <row r="13" spans="1:46" ht="30" customHeight="1" thickBot="1" x14ac:dyDescent="0.5">
      <c r="A13" s="232" t="s">
        <v>521</v>
      </c>
      <c r="B13" s="569">
        <v>81141.48</v>
      </c>
      <c r="C13" s="570">
        <v>54744.938000000002</v>
      </c>
      <c r="D13" s="569">
        <v>75477.618000000002</v>
      </c>
      <c r="E13" s="569">
        <v>76920.17</v>
      </c>
      <c r="F13" s="570">
        <v>36968.794999999998</v>
      </c>
      <c r="G13" s="570">
        <v>29914.183000000001</v>
      </c>
      <c r="H13" s="570">
        <v>54932.909</v>
      </c>
      <c r="I13" s="570">
        <v>7560.5929999999998</v>
      </c>
      <c r="J13" s="569">
        <v>88746.452000000005</v>
      </c>
      <c r="K13" s="570">
        <v>28739.047999999999</v>
      </c>
      <c r="L13" s="569">
        <v>49329.686000000002</v>
      </c>
      <c r="M13" s="569">
        <v>309289.32799999998</v>
      </c>
      <c r="N13" s="570">
        <v>421237.41600000003</v>
      </c>
      <c r="O13" s="570">
        <v>68831.816999999995</v>
      </c>
      <c r="P13" s="569">
        <v>19395.882000000001</v>
      </c>
      <c r="Q13" s="570">
        <v>506326.69900000002</v>
      </c>
      <c r="R13" s="570">
        <v>77192.926999999996</v>
      </c>
      <c r="S13" s="570">
        <v>59450.09</v>
      </c>
      <c r="T13" s="570">
        <v>408975.603</v>
      </c>
      <c r="U13" s="570">
        <v>5901.7619999999997</v>
      </c>
      <c r="V13" s="570">
        <v>7393.049</v>
      </c>
      <c r="W13" s="576"/>
      <c r="X13" s="576"/>
      <c r="Y13" s="572">
        <f t="shared" si="0"/>
        <v>2468470.4450000003</v>
      </c>
      <c r="Z13" s="442"/>
      <c r="AA13" s="573"/>
      <c r="AB13" s="574"/>
      <c r="AC13" s="442"/>
      <c r="AD13" s="574"/>
      <c r="AE13" s="442"/>
      <c r="AF13" s="442"/>
      <c r="AG13" s="575"/>
      <c r="AH13" s="442"/>
      <c r="AI13" s="442"/>
      <c r="AJ13" s="442"/>
      <c r="AK13" s="442"/>
      <c r="AL13" s="442"/>
      <c r="AM13" s="442"/>
      <c r="AN13" s="442"/>
      <c r="AO13" s="442"/>
      <c r="AP13" s="442"/>
      <c r="AQ13" s="442"/>
      <c r="AR13" s="442"/>
      <c r="AS13" s="442"/>
      <c r="AT13" s="442"/>
    </row>
    <row r="14" spans="1:46" ht="30" customHeight="1" thickBot="1" x14ac:dyDescent="0.5">
      <c r="A14" s="232" t="s">
        <v>168</v>
      </c>
      <c r="B14" s="569">
        <v>78567.589000000007</v>
      </c>
      <c r="C14" s="570">
        <v>50280.77</v>
      </c>
      <c r="D14" s="569">
        <v>68570.645000000004</v>
      </c>
      <c r="E14" s="569">
        <v>72230.740999999995</v>
      </c>
      <c r="F14" s="570">
        <v>34349.964999999997</v>
      </c>
      <c r="G14" s="570">
        <v>30482.874</v>
      </c>
      <c r="H14" s="570">
        <v>43781.972000000002</v>
      </c>
      <c r="I14" s="570">
        <v>8686.9680000000008</v>
      </c>
      <c r="J14" s="569">
        <v>92371.334000000003</v>
      </c>
      <c r="K14" s="570">
        <v>34309.589</v>
      </c>
      <c r="L14" s="569">
        <v>56078.553</v>
      </c>
      <c r="M14" s="569">
        <v>313721.75</v>
      </c>
      <c r="N14" s="570">
        <v>434759.54599999997</v>
      </c>
      <c r="O14" s="570">
        <v>58544.686000000002</v>
      </c>
      <c r="P14" s="569">
        <v>15982.387000000001</v>
      </c>
      <c r="Q14" s="570">
        <v>488526.28600000002</v>
      </c>
      <c r="R14" s="570">
        <v>71493.861000000004</v>
      </c>
      <c r="S14" s="570">
        <v>54904.567000000003</v>
      </c>
      <c r="T14" s="570">
        <v>434637.875</v>
      </c>
      <c r="U14" s="570">
        <v>3069.5929999999998</v>
      </c>
      <c r="V14" s="570">
        <v>9911.0190000000002</v>
      </c>
      <c r="W14" s="576"/>
      <c r="X14" s="576"/>
      <c r="Y14" s="572">
        <f t="shared" si="0"/>
        <v>2455262.5700000003</v>
      </c>
      <c r="Z14" s="442"/>
      <c r="AA14" s="573"/>
      <c r="AB14" s="574"/>
      <c r="AC14" s="442"/>
      <c r="AD14" s="574"/>
      <c r="AE14" s="442"/>
      <c r="AF14" s="442"/>
      <c r="AG14" s="575"/>
      <c r="AH14" s="442"/>
      <c r="AI14" s="442"/>
      <c r="AJ14" s="442"/>
      <c r="AK14" s="442"/>
      <c r="AL14" s="442"/>
      <c r="AM14" s="442"/>
      <c r="AN14" s="442"/>
      <c r="AO14" s="442"/>
      <c r="AP14" s="442"/>
      <c r="AQ14" s="442"/>
      <c r="AR14" s="442"/>
      <c r="AS14" s="442"/>
      <c r="AT14" s="442"/>
    </row>
    <row r="15" spans="1:46" ht="30" customHeight="1" thickBot="1" x14ac:dyDescent="0.5">
      <c r="A15" s="232" t="s">
        <v>169</v>
      </c>
      <c r="B15" s="569">
        <v>72584.982999999993</v>
      </c>
      <c r="C15" s="570">
        <v>47723.654999999999</v>
      </c>
      <c r="D15" s="569">
        <v>66929.077000000005</v>
      </c>
      <c r="E15" s="569">
        <v>64835.811999999998</v>
      </c>
      <c r="F15" s="570">
        <v>27108.006000000001</v>
      </c>
      <c r="G15" s="570">
        <v>32939.141000000003</v>
      </c>
      <c r="H15" s="570">
        <v>50795.728000000003</v>
      </c>
      <c r="I15" s="570">
        <v>10333.737999999999</v>
      </c>
      <c r="J15" s="569">
        <v>89947.812999999995</v>
      </c>
      <c r="K15" s="570">
        <v>33738.197</v>
      </c>
      <c r="L15" s="569">
        <v>51002.87</v>
      </c>
      <c r="M15" s="569">
        <v>263091.04599999997</v>
      </c>
      <c r="N15" s="570">
        <v>424081.32299999997</v>
      </c>
      <c r="O15" s="570">
        <v>57247.976000000002</v>
      </c>
      <c r="P15" s="569">
        <v>21510.667000000001</v>
      </c>
      <c r="Q15" s="570">
        <v>529293.11100000003</v>
      </c>
      <c r="R15" s="570">
        <v>65592.216</v>
      </c>
      <c r="S15" s="570">
        <v>51671.101000000002</v>
      </c>
      <c r="T15" s="570">
        <v>463710.43800000002</v>
      </c>
      <c r="U15" s="570">
        <v>3127.5169999999998</v>
      </c>
      <c r="V15" s="570">
        <v>6565.6620000000003</v>
      </c>
      <c r="W15" s="576"/>
      <c r="X15" s="576"/>
      <c r="Y15" s="572">
        <f t="shared" si="0"/>
        <v>2433830.077</v>
      </c>
      <c r="Z15" s="442"/>
      <c r="AA15" s="573"/>
      <c r="AB15" s="574"/>
      <c r="AC15" s="442"/>
      <c r="AD15" s="574"/>
      <c r="AE15" s="442"/>
      <c r="AF15" s="442"/>
      <c r="AG15" s="575"/>
      <c r="AH15" s="577"/>
      <c r="AI15" s="442"/>
      <c r="AJ15" s="442"/>
      <c r="AK15" s="442"/>
      <c r="AL15" s="442"/>
      <c r="AM15" s="442"/>
      <c r="AN15" s="442"/>
      <c r="AO15" s="442"/>
      <c r="AP15" s="442"/>
      <c r="AQ15" s="442"/>
      <c r="AR15" s="442"/>
      <c r="AS15" s="442"/>
      <c r="AT15" s="442"/>
    </row>
    <row r="16" spans="1:46" ht="27.75" customHeight="1" thickBot="1" x14ac:dyDescent="0.5">
      <c r="A16" s="232" t="s">
        <v>170</v>
      </c>
      <c r="B16" s="572">
        <f>SUM(B4:B15)</f>
        <v>943636.08900000004</v>
      </c>
      <c r="C16" s="572">
        <f t="shared" ref="C16:X16" si="1">SUM(C4:C15)</f>
        <v>630932.10400000005</v>
      </c>
      <c r="D16" s="572">
        <f t="shared" si="1"/>
        <v>886549.32000000018</v>
      </c>
      <c r="E16" s="572">
        <f t="shared" si="1"/>
        <v>871125.23</v>
      </c>
      <c r="F16" s="572">
        <f t="shared" si="1"/>
        <v>360928.712</v>
      </c>
      <c r="G16" s="572">
        <f t="shared" si="1"/>
        <v>351891.75</v>
      </c>
      <c r="H16" s="572">
        <f t="shared" si="1"/>
        <v>811723.728</v>
      </c>
      <c r="I16" s="572">
        <f t="shared" si="1"/>
        <v>94968.61099999999</v>
      </c>
      <c r="J16" s="572">
        <f t="shared" si="1"/>
        <v>990014.63800000004</v>
      </c>
      <c r="K16" s="572">
        <f t="shared" si="1"/>
        <v>399435.99800000002</v>
      </c>
      <c r="L16" s="572">
        <f t="shared" si="1"/>
        <v>609708.48900000006</v>
      </c>
      <c r="M16" s="572">
        <f t="shared" si="1"/>
        <v>3721606.6670000004</v>
      </c>
      <c r="N16" s="572">
        <f t="shared" si="1"/>
        <v>5001416.5690000001</v>
      </c>
      <c r="O16" s="572">
        <f t="shared" si="1"/>
        <v>680444.8550000001</v>
      </c>
      <c r="P16" s="572">
        <f t="shared" si="1"/>
        <v>212772.16499999998</v>
      </c>
      <c r="Q16" s="572">
        <f t="shared" si="1"/>
        <v>5309997.8680000007</v>
      </c>
      <c r="R16" s="572">
        <f t="shared" si="1"/>
        <v>877899.83700000017</v>
      </c>
      <c r="S16" s="572">
        <f t="shared" si="1"/>
        <v>689940.78800000006</v>
      </c>
      <c r="T16" s="572">
        <f t="shared" si="1"/>
        <v>5024404.3780000005</v>
      </c>
      <c r="U16" s="572">
        <f t="shared" si="1"/>
        <v>47242.606</v>
      </c>
      <c r="V16" s="572">
        <f t="shared" si="1"/>
        <v>84279.979000000007</v>
      </c>
      <c r="W16" s="572">
        <f t="shared" si="1"/>
        <v>70378</v>
      </c>
      <c r="X16" s="572">
        <f t="shared" si="1"/>
        <v>61517.5</v>
      </c>
      <c r="Y16" s="578">
        <f>SUM(Y4:Y15)</f>
        <v>28732815.881000001</v>
      </c>
      <c r="AA16" s="574"/>
      <c r="AB16" s="579"/>
      <c r="AC16" s="442"/>
      <c r="AD16" s="574"/>
      <c r="AE16" s="442"/>
      <c r="AF16" s="442"/>
      <c r="AG16" s="442"/>
      <c r="AH16" s="442"/>
      <c r="AI16" s="442"/>
      <c r="AJ16" s="442"/>
      <c r="AK16" s="442"/>
      <c r="AL16" s="442"/>
      <c r="AM16" s="442"/>
      <c r="AN16" s="442"/>
      <c r="AO16" s="442"/>
      <c r="AP16" s="442"/>
      <c r="AQ16" s="442"/>
      <c r="AR16" s="442"/>
      <c r="AS16" s="442"/>
      <c r="AT16" s="442"/>
    </row>
    <row r="17" spans="1:26" x14ac:dyDescent="0.4">
      <c r="A17" s="2806" t="s">
        <v>559</v>
      </c>
      <c r="B17" s="2806"/>
      <c r="C17" s="2806"/>
      <c r="D17" s="2806"/>
      <c r="E17" s="2806"/>
      <c r="F17" s="2806"/>
      <c r="G17" s="2806"/>
      <c r="H17" s="2806"/>
      <c r="I17" s="2806"/>
      <c r="J17" s="2806"/>
      <c r="K17" s="2806"/>
      <c r="L17" s="2806"/>
      <c r="M17" s="2806"/>
      <c r="N17" s="2806"/>
      <c r="O17" s="2806"/>
      <c r="P17" s="2806"/>
      <c r="Q17" s="2806"/>
      <c r="R17" s="2806"/>
      <c r="S17" s="2806"/>
      <c r="T17" s="2806"/>
      <c r="U17" s="2806"/>
      <c r="V17" s="2806"/>
      <c r="W17" s="2806"/>
      <c r="X17" s="2806"/>
      <c r="Y17" s="2806"/>
    </row>
    <row r="18" spans="1:26" ht="24.75" x14ac:dyDescent="0.6"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580"/>
      <c r="S18" s="580"/>
      <c r="T18" s="580"/>
      <c r="U18" s="581"/>
      <c r="V18" s="581"/>
      <c r="W18" s="581"/>
      <c r="X18" s="581"/>
      <c r="Y18" s="581"/>
      <c r="Z18" s="580"/>
    </row>
    <row r="19" spans="1:26" ht="24.75" x14ac:dyDescent="0.6">
      <c r="A19" s="579"/>
      <c r="B19" s="582"/>
      <c r="C19" s="582"/>
      <c r="D19" s="582"/>
      <c r="E19" s="582"/>
      <c r="F19" s="582"/>
      <c r="G19" s="582"/>
      <c r="H19" s="582"/>
      <c r="I19" s="582"/>
      <c r="J19" s="582"/>
      <c r="K19" s="582"/>
      <c r="L19" s="582"/>
      <c r="M19" s="582"/>
      <c r="N19" s="582"/>
      <c r="O19" s="582"/>
      <c r="P19" s="582"/>
      <c r="Q19" s="582"/>
      <c r="R19" s="582"/>
      <c r="S19" s="582"/>
      <c r="T19" s="582"/>
      <c r="U19" s="582"/>
      <c r="V19" s="582"/>
      <c r="W19" s="582"/>
      <c r="X19" s="582"/>
      <c r="Y19" s="579"/>
      <c r="Z19" s="580"/>
    </row>
    <row r="20" spans="1:26" ht="24.75" x14ac:dyDescent="0.6">
      <c r="A20" s="579"/>
      <c r="B20" s="442"/>
      <c r="C20" s="442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2"/>
      <c r="O20" s="442"/>
      <c r="P20" s="442"/>
      <c r="Q20" s="442"/>
      <c r="R20" s="442"/>
      <c r="S20" s="442"/>
      <c r="T20" s="442"/>
      <c r="U20" s="442"/>
      <c r="V20" s="442"/>
      <c r="W20" s="442"/>
      <c r="X20" s="442"/>
      <c r="Y20" s="442"/>
      <c r="Z20" s="580"/>
    </row>
    <row r="21" spans="1:26" x14ac:dyDescent="0.4">
      <c r="A21" s="579"/>
      <c r="B21" s="442"/>
      <c r="C21" s="442"/>
      <c r="D21" s="442"/>
      <c r="E21" s="442"/>
      <c r="F21" s="442"/>
      <c r="G21" s="442"/>
      <c r="H21" s="442"/>
      <c r="I21" s="442"/>
      <c r="J21" s="442"/>
      <c r="K21" s="442"/>
      <c r="L21" s="442"/>
      <c r="M21" s="442"/>
      <c r="N21" s="442"/>
      <c r="O21" s="442"/>
      <c r="P21" s="442"/>
      <c r="Q21" s="442"/>
      <c r="R21" s="442"/>
      <c r="S21" s="442"/>
      <c r="T21" s="442"/>
      <c r="U21" s="442"/>
      <c r="V21" s="442"/>
      <c r="W21" s="442"/>
      <c r="X21" s="442"/>
      <c r="Y21" s="442"/>
    </row>
    <row r="22" spans="1:26" x14ac:dyDescent="0.4">
      <c r="B22" s="442"/>
      <c r="C22" s="442"/>
      <c r="D22" s="442"/>
      <c r="E22" s="442"/>
      <c r="F22" s="442"/>
      <c r="G22" s="442"/>
      <c r="H22" s="442"/>
      <c r="I22" s="442"/>
      <c r="J22" s="442"/>
      <c r="K22" s="442"/>
      <c r="L22" s="442"/>
      <c r="M22" s="442"/>
      <c r="N22" s="442"/>
      <c r="O22" s="442"/>
      <c r="P22" s="442"/>
      <c r="Q22" s="442"/>
      <c r="R22" s="442"/>
      <c r="S22" s="442"/>
      <c r="T22" s="442"/>
      <c r="U22" s="442"/>
      <c r="V22" s="442"/>
      <c r="W22" s="442"/>
      <c r="X22" s="442"/>
      <c r="Y22" s="442"/>
    </row>
    <row r="23" spans="1:26" x14ac:dyDescent="0.4">
      <c r="A23" s="579"/>
      <c r="B23" s="442"/>
      <c r="C23" s="442"/>
      <c r="D23" s="442"/>
      <c r="E23" s="442"/>
      <c r="F23" s="442"/>
      <c r="G23" s="442"/>
      <c r="H23" s="442"/>
      <c r="I23" s="442"/>
      <c r="J23" s="442"/>
      <c r="K23" s="442"/>
      <c r="L23" s="442"/>
      <c r="M23" s="442"/>
      <c r="N23" s="442"/>
      <c r="O23" s="442"/>
      <c r="P23" s="442"/>
      <c r="Q23" s="442"/>
      <c r="R23" s="442"/>
      <c r="S23" s="442"/>
      <c r="T23" s="442"/>
      <c r="U23" s="442"/>
      <c r="V23" s="442"/>
      <c r="W23" s="442"/>
      <c r="X23" s="442"/>
      <c r="Y23" s="442"/>
    </row>
    <row r="24" spans="1:26" x14ac:dyDescent="0.4">
      <c r="A24" s="579"/>
      <c r="B24" s="442"/>
      <c r="C24" s="442"/>
      <c r="D24" s="442"/>
      <c r="E24" s="442"/>
      <c r="F24" s="442"/>
      <c r="G24" s="442"/>
      <c r="H24" s="442"/>
      <c r="I24" s="442"/>
      <c r="J24" s="442"/>
      <c r="K24" s="442"/>
      <c r="L24" s="442"/>
      <c r="M24" s="442"/>
      <c r="N24" s="442"/>
      <c r="O24" s="442"/>
      <c r="P24" s="442"/>
      <c r="Q24" s="442"/>
      <c r="R24" s="442"/>
      <c r="S24" s="442"/>
      <c r="T24" s="442"/>
      <c r="U24" s="442"/>
      <c r="V24" s="442"/>
      <c r="W24" s="442"/>
      <c r="X24" s="442"/>
      <c r="Y24" s="442"/>
    </row>
    <row r="25" spans="1:26" x14ac:dyDescent="0.4">
      <c r="B25" s="442"/>
      <c r="C25" s="442"/>
      <c r="D25" s="442"/>
      <c r="E25" s="442"/>
      <c r="F25" s="442"/>
      <c r="G25" s="442"/>
      <c r="H25" s="442"/>
      <c r="I25" s="442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2"/>
      <c r="Y25" s="442"/>
    </row>
    <row r="26" spans="1:26" x14ac:dyDescent="0.4">
      <c r="B26" s="442"/>
      <c r="C26" s="442"/>
      <c r="D26" s="442"/>
      <c r="E26" s="442"/>
      <c r="F26" s="442"/>
      <c r="G26" s="442"/>
      <c r="H26" s="442"/>
      <c r="I26" s="442"/>
      <c r="J26" s="442"/>
      <c r="K26" s="442"/>
      <c r="L26" s="442"/>
      <c r="M26" s="442"/>
      <c r="N26" s="442"/>
      <c r="O26" s="442"/>
      <c r="P26" s="442"/>
      <c r="Q26" s="442"/>
      <c r="R26" s="442"/>
      <c r="S26" s="442"/>
      <c r="T26" s="442"/>
      <c r="U26" s="442"/>
      <c r="V26" s="442"/>
      <c r="W26" s="442"/>
      <c r="X26" s="442"/>
      <c r="Y26" s="442"/>
    </row>
    <row r="27" spans="1:26" x14ac:dyDescent="0.4">
      <c r="B27" s="442"/>
      <c r="C27" s="442"/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2"/>
      <c r="Q27" s="442"/>
      <c r="R27" s="442"/>
      <c r="S27" s="442"/>
      <c r="T27" s="442"/>
      <c r="U27" s="442"/>
      <c r="V27" s="442"/>
      <c r="W27" s="442"/>
      <c r="X27" s="442"/>
      <c r="Y27" s="442"/>
    </row>
    <row r="28" spans="1:26" x14ac:dyDescent="0.4">
      <c r="B28" s="442"/>
      <c r="C28" s="442"/>
      <c r="D28" s="442"/>
      <c r="E28" s="442"/>
      <c r="F28" s="442"/>
      <c r="G28" s="442"/>
      <c r="H28" s="442"/>
      <c r="I28" s="442"/>
      <c r="J28" s="442"/>
      <c r="K28" s="442"/>
      <c r="L28" s="442"/>
      <c r="M28" s="442"/>
      <c r="N28" s="442"/>
      <c r="O28" s="442"/>
      <c r="P28" s="442"/>
      <c r="Q28" s="442"/>
      <c r="R28" s="442"/>
      <c r="S28" s="442"/>
      <c r="T28" s="442"/>
      <c r="U28" s="442"/>
      <c r="V28" s="442"/>
      <c r="W28" s="442"/>
      <c r="X28" s="442"/>
    </row>
    <row r="29" spans="1:26" x14ac:dyDescent="0.4">
      <c r="A29" s="579"/>
      <c r="B29" s="442"/>
      <c r="C29" s="442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  <c r="O29" s="442"/>
      <c r="P29" s="442"/>
      <c r="Q29" s="442"/>
      <c r="R29" s="442"/>
      <c r="S29" s="442"/>
      <c r="T29" s="442"/>
      <c r="U29" s="442"/>
      <c r="V29" s="442"/>
      <c r="W29" s="442"/>
      <c r="X29" s="442"/>
    </row>
    <row r="30" spans="1:26" x14ac:dyDescent="0.4">
      <c r="B30" s="442"/>
      <c r="C30" s="442"/>
      <c r="D30" s="442"/>
      <c r="E30" s="442"/>
      <c r="F30" s="442"/>
      <c r="G30" s="442"/>
      <c r="H30" s="442"/>
      <c r="I30" s="442"/>
      <c r="J30" s="442"/>
      <c r="K30" s="442"/>
      <c r="L30" s="442"/>
      <c r="M30" s="442"/>
      <c r="N30" s="442"/>
      <c r="O30" s="442"/>
      <c r="P30" s="442"/>
      <c r="Q30" s="442"/>
      <c r="R30" s="442"/>
      <c r="S30" s="442"/>
      <c r="T30" s="442"/>
      <c r="U30" s="442"/>
      <c r="V30" s="442"/>
      <c r="W30" s="442"/>
      <c r="X30" s="442"/>
    </row>
    <row r="31" spans="1:26" x14ac:dyDescent="0.4">
      <c r="A31" s="579"/>
      <c r="B31" s="442"/>
      <c r="C31" s="442"/>
      <c r="D31" s="442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2"/>
    </row>
    <row r="32" spans="1:26" x14ac:dyDescent="0.4">
      <c r="A32" s="579"/>
      <c r="B32" s="442"/>
      <c r="C32" s="442"/>
      <c r="D32" s="442"/>
      <c r="E32" s="442"/>
      <c r="F32" s="442"/>
      <c r="G32" s="442"/>
      <c r="H32" s="442"/>
      <c r="I32" s="442"/>
      <c r="J32" s="442"/>
      <c r="K32" s="442"/>
      <c r="L32" s="442"/>
      <c r="M32" s="442"/>
      <c r="N32" s="442"/>
    </row>
    <row r="33" spans="1:14" x14ac:dyDescent="0.4">
      <c r="B33" s="442"/>
    </row>
    <row r="34" spans="1:14" x14ac:dyDescent="0.4">
      <c r="B34" s="442"/>
    </row>
    <row r="35" spans="1:14" x14ac:dyDescent="0.4">
      <c r="A35" s="579"/>
      <c r="B35" s="442"/>
      <c r="C35" s="442"/>
      <c r="D35" s="442"/>
      <c r="E35" s="442"/>
      <c r="F35" s="442"/>
      <c r="G35" s="442"/>
      <c r="H35" s="442"/>
      <c r="I35" s="442"/>
      <c r="J35" s="442"/>
      <c r="K35" s="442"/>
      <c r="L35" s="442"/>
      <c r="M35" s="442"/>
    </row>
    <row r="36" spans="1:14" x14ac:dyDescent="0.4">
      <c r="B36" s="442"/>
    </row>
    <row r="37" spans="1:14" x14ac:dyDescent="0.4">
      <c r="B37" s="442"/>
    </row>
    <row r="38" spans="1:14" x14ac:dyDescent="0.4">
      <c r="B38" s="442"/>
    </row>
    <row r="39" spans="1:14" x14ac:dyDescent="0.4">
      <c r="B39" s="442"/>
      <c r="N39" s="442"/>
    </row>
    <row r="40" spans="1:14" x14ac:dyDescent="0.4">
      <c r="B40" s="442"/>
    </row>
    <row r="41" spans="1:14" x14ac:dyDescent="0.4">
      <c r="B41" s="442"/>
      <c r="N41" s="442"/>
    </row>
    <row r="42" spans="1:14" x14ac:dyDescent="0.4">
      <c r="B42" s="442"/>
    </row>
    <row r="43" spans="1:14" x14ac:dyDescent="0.4">
      <c r="B43" s="442"/>
    </row>
    <row r="44" spans="1:14" x14ac:dyDescent="0.4">
      <c r="B44" s="442"/>
    </row>
    <row r="45" spans="1:14" x14ac:dyDescent="0.4">
      <c r="B45" s="442"/>
    </row>
    <row r="46" spans="1:14" x14ac:dyDescent="0.4">
      <c r="B46" s="442"/>
    </row>
    <row r="47" spans="1:14" x14ac:dyDescent="0.4">
      <c r="B47" s="442"/>
    </row>
    <row r="48" spans="1:14" x14ac:dyDescent="0.4">
      <c r="B48" s="442"/>
    </row>
    <row r="49" spans="2:2" x14ac:dyDescent="0.4">
      <c r="B49" s="442"/>
    </row>
    <row r="50" spans="2:2" x14ac:dyDescent="0.4">
      <c r="B50" s="442"/>
    </row>
    <row r="51" spans="2:2" x14ac:dyDescent="0.4">
      <c r="B51" s="442"/>
    </row>
    <row r="52" spans="2:2" x14ac:dyDescent="0.4">
      <c r="B52" s="442"/>
    </row>
    <row r="53" spans="2:2" x14ac:dyDescent="0.4">
      <c r="B53" s="442"/>
    </row>
    <row r="54" spans="2:2" x14ac:dyDescent="0.4">
      <c r="B54" s="442"/>
    </row>
    <row r="55" spans="2:2" x14ac:dyDescent="0.4">
      <c r="B55" s="442"/>
    </row>
    <row r="56" spans="2:2" x14ac:dyDescent="0.4">
      <c r="B56" s="442"/>
    </row>
    <row r="57" spans="2:2" x14ac:dyDescent="0.4">
      <c r="B57" s="442"/>
    </row>
    <row r="58" spans="2:2" x14ac:dyDescent="0.4">
      <c r="B58" s="442"/>
    </row>
    <row r="59" spans="2:2" x14ac:dyDescent="0.4">
      <c r="B59" s="442"/>
    </row>
    <row r="60" spans="2:2" x14ac:dyDescent="0.4">
      <c r="B60" s="442"/>
    </row>
    <row r="61" spans="2:2" x14ac:dyDescent="0.4">
      <c r="B61" s="442"/>
    </row>
    <row r="62" spans="2:2" x14ac:dyDescent="0.4">
      <c r="B62" s="442"/>
    </row>
    <row r="63" spans="2:2" x14ac:dyDescent="0.4">
      <c r="B63" s="442"/>
    </row>
    <row r="64" spans="2:2" x14ac:dyDescent="0.4">
      <c r="B64" s="442"/>
    </row>
    <row r="65" spans="2:2" x14ac:dyDescent="0.4">
      <c r="B65" s="442"/>
    </row>
  </sheetData>
  <mergeCells count="4">
    <mergeCell ref="A1:Y1"/>
    <mergeCell ref="AB1:AR1"/>
    <mergeCell ref="A2:Y2"/>
    <mergeCell ref="A17:Y17"/>
  </mergeCells>
  <printOptions horizontalCentered="1"/>
  <pageMargins left="0.19685039370078741" right="0.19685039370078741" top="0.98425196850393704" bottom="0.98425196850393704" header="0" footer="0"/>
  <pageSetup paperSize="9" scale="80" fitToHeight="2" orientation="landscape" r:id="rId1"/>
  <headerFooter alignWithMargins="0">
    <oddFooter xml:space="preserve">&amp;C&amp;"B Roya,Bold"&amp;12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K78"/>
  <sheetViews>
    <sheetView rightToLeft="1" topLeftCell="A16" workbookViewId="0">
      <selection activeCell="C22" sqref="C22:C40"/>
    </sheetView>
  </sheetViews>
  <sheetFormatPr defaultColWidth="7" defaultRowHeight="15.75" x14ac:dyDescent="0.4"/>
  <cols>
    <col min="1" max="1" width="16.25" style="90" customWidth="1"/>
    <col min="2" max="2" width="13.75" style="90" customWidth="1"/>
    <col min="3" max="3" width="16" style="90" bestFit="1" customWidth="1"/>
    <col min="4" max="5" width="11.875" style="90" customWidth="1"/>
    <col min="6" max="6" width="7" style="90"/>
    <col min="7" max="7" width="8.75" style="90" bestFit="1" customWidth="1"/>
    <col min="8" max="8" width="18" style="90" bestFit="1" customWidth="1"/>
    <col min="9" max="9" width="10.625" style="90" customWidth="1"/>
    <col min="10" max="10" width="7" style="90"/>
    <col min="11" max="11" width="7.375" style="90" bestFit="1" customWidth="1"/>
    <col min="12" max="16384" width="7" style="90"/>
  </cols>
  <sheetData>
    <row r="1" ht="15" customHeight="1" x14ac:dyDescent="0.4"/>
    <row r="2" ht="14.25" customHeight="1" x14ac:dyDescent="0.4"/>
    <row r="3" ht="18" customHeight="1" x14ac:dyDescent="0.4"/>
    <row r="4" ht="16.5" customHeight="1" x14ac:dyDescent="0.4"/>
    <row r="5" ht="16.5" customHeight="1" x14ac:dyDescent="0.4"/>
    <row r="6" ht="18" customHeight="1" x14ac:dyDescent="0.4"/>
    <row r="7" ht="15.75" customHeight="1" x14ac:dyDescent="0.4"/>
    <row r="8" ht="16.5" customHeight="1" x14ac:dyDescent="0.4"/>
    <row r="9" ht="15" customHeight="1" x14ac:dyDescent="0.4"/>
    <row r="10" ht="18" customHeight="1" x14ac:dyDescent="0.4"/>
    <row r="11" ht="18" customHeight="1" x14ac:dyDescent="0.4"/>
    <row r="12" ht="18" customHeight="1" x14ac:dyDescent="0.4"/>
    <row r="13" ht="18" customHeight="1" x14ac:dyDescent="0.4"/>
    <row r="14" ht="15.75" customHeight="1" x14ac:dyDescent="0.4"/>
    <row r="15" ht="15.75" customHeight="1" x14ac:dyDescent="0.4"/>
    <row r="16" ht="18" customHeight="1" x14ac:dyDescent="0.4"/>
    <row r="17" spans="1:11" ht="12.75" customHeight="1" x14ac:dyDescent="0.4"/>
    <row r="18" spans="1:11" ht="18.75" customHeight="1" x14ac:dyDescent="0.4">
      <c r="A18" s="2795" t="s">
        <v>560</v>
      </c>
      <c r="B18" s="2795"/>
      <c r="C18" s="2795"/>
      <c r="D18" s="2795"/>
      <c r="E18" s="2795"/>
    </row>
    <row r="19" spans="1:11" ht="15" customHeight="1" thickBot="1" x14ac:dyDescent="0.45">
      <c r="A19" s="2820" t="s">
        <v>429</v>
      </c>
      <c r="B19" s="2820"/>
      <c r="C19" s="2820"/>
      <c r="D19" s="2820"/>
      <c r="E19" s="2820"/>
    </row>
    <row r="20" spans="1:11" ht="20.25" customHeight="1" x14ac:dyDescent="0.4">
      <c r="A20" s="2807" t="s">
        <v>118</v>
      </c>
      <c r="B20" s="2798" t="s">
        <v>38</v>
      </c>
      <c r="C20" s="2799"/>
      <c r="D20" s="2810" t="s">
        <v>442</v>
      </c>
      <c r="E20" s="2812" t="s">
        <v>406</v>
      </c>
    </row>
    <row r="21" spans="1:11" ht="16.5" customHeight="1" thickBot="1" x14ac:dyDescent="0.45">
      <c r="A21" s="2808"/>
      <c r="B21" s="396">
        <v>1402</v>
      </c>
      <c r="C21" s="396">
        <v>1403</v>
      </c>
      <c r="D21" s="2811"/>
      <c r="E21" s="2813"/>
      <c r="K21" s="583"/>
    </row>
    <row r="22" spans="1:11" ht="14.25" customHeight="1" x14ac:dyDescent="0.4">
      <c r="A22" s="242" t="s">
        <v>107</v>
      </c>
      <c r="B22" s="444">
        <v>1128199.4189999998</v>
      </c>
      <c r="C22" s="444">
        <v>943636.09</v>
      </c>
      <c r="D22" s="445">
        <f>C22-B22</f>
        <v>-184563.32899999979</v>
      </c>
      <c r="E22" s="400">
        <f>D22/B22</f>
        <v>-0.16359105127317908</v>
      </c>
      <c r="H22" s="584"/>
    </row>
    <row r="23" spans="1:11" ht="14.25" customHeight="1" x14ac:dyDescent="0.4">
      <c r="A23" s="242" t="s">
        <v>112</v>
      </c>
      <c r="B23" s="444">
        <v>763738.98599999992</v>
      </c>
      <c r="C23" s="444">
        <v>630932.10499999998</v>
      </c>
      <c r="D23" s="445">
        <f t="shared" ref="D23:D45" si="0">C23-B23</f>
        <v>-132806.88099999994</v>
      </c>
      <c r="E23" s="400">
        <f t="shared" ref="E23:E45" si="1">D23/B23</f>
        <v>-0.17389040422770816</v>
      </c>
      <c r="H23" s="584"/>
    </row>
    <row r="24" spans="1:11" ht="14.25" customHeight="1" x14ac:dyDescent="0.4">
      <c r="A24" s="242" t="s">
        <v>198</v>
      </c>
      <c r="B24" s="444">
        <f>896889.582-0.193</f>
        <v>896889.38900000008</v>
      </c>
      <c r="C24" s="444">
        <v>886549.32</v>
      </c>
      <c r="D24" s="445">
        <f t="shared" si="0"/>
        <v>-10340.069000000134</v>
      </c>
      <c r="E24" s="400">
        <f t="shared" si="1"/>
        <v>-1.1528811832113373E-2</v>
      </c>
      <c r="H24" s="584"/>
      <c r="J24" s="96"/>
    </row>
    <row r="25" spans="1:11" ht="14.25" customHeight="1" x14ac:dyDescent="0.4">
      <c r="A25" s="242" t="s">
        <v>102</v>
      </c>
      <c r="B25" s="444">
        <v>820218.076</v>
      </c>
      <c r="C25" s="444">
        <v>871125.23</v>
      </c>
      <c r="D25" s="445">
        <f t="shared" si="0"/>
        <v>50907.15399999998</v>
      </c>
      <c r="E25" s="400">
        <f t="shared" si="1"/>
        <v>6.2065389058799506E-2</v>
      </c>
      <c r="H25" s="584"/>
    </row>
    <row r="26" spans="1:11" ht="14.25" customHeight="1" x14ac:dyDescent="0.4">
      <c r="A26" s="242" t="s">
        <v>199</v>
      </c>
      <c r="B26" s="444">
        <v>248452.54600000003</v>
      </c>
      <c r="C26" s="444">
        <v>360928.712</v>
      </c>
      <c r="D26" s="445">
        <f t="shared" si="0"/>
        <v>112476.16599999997</v>
      </c>
      <c r="E26" s="400">
        <f t="shared" si="1"/>
        <v>0.45270683601688649</v>
      </c>
      <c r="H26" s="584"/>
    </row>
    <row r="27" spans="1:11" ht="12.75" customHeight="1" x14ac:dyDescent="0.4">
      <c r="A27" s="242" t="s">
        <v>113</v>
      </c>
      <c r="B27" s="444">
        <v>353847.23099999997</v>
      </c>
      <c r="C27" s="444">
        <v>351891.75099999999</v>
      </c>
      <c r="D27" s="445">
        <f t="shared" si="0"/>
        <v>-1955.4799999999814</v>
      </c>
      <c r="E27" s="400">
        <f t="shared" si="1"/>
        <v>-5.5263396988402078E-3</v>
      </c>
      <c r="H27" s="584"/>
    </row>
    <row r="28" spans="1:11" ht="12.75" customHeight="1" x14ac:dyDescent="0.4">
      <c r="A28" s="242" t="s">
        <v>98</v>
      </c>
      <c r="B28" s="444">
        <v>958538.26099999982</v>
      </c>
      <c r="C28" s="444">
        <v>811723.728</v>
      </c>
      <c r="D28" s="445">
        <f t="shared" si="0"/>
        <v>-146814.53299999982</v>
      </c>
      <c r="E28" s="400">
        <f t="shared" si="1"/>
        <v>-0.15316502113002231</v>
      </c>
      <c r="H28" s="584"/>
    </row>
    <row r="29" spans="1:11" ht="14.25" customHeight="1" x14ac:dyDescent="0.4">
      <c r="A29" s="242" t="s">
        <v>114</v>
      </c>
      <c r="B29" s="444">
        <v>73563.218999999997</v>
      </c>
      <c r="C29" s="444">
        <v>94968.611999999994</v>
      </c>
      <c r="D29" s="445">
        <f>C29-B29</f>
        <v>21405.392999999996</v>
      </c>
      <c r="E29" s="400">
        <f>D29/B29</f>
        <v>0.29097955868407549</v>
      </c>
      <c r="H29" s="584"/>
    </row>
    <row r="30" spans="1:11" ht="12" customHeight="1" x14ac:dyDescent="0.4">
      <c r="A30" s="242" t="s">
        <v>99</v>
      </c>
      <c r="B30" s="444">
        <v>889929.41599999997</v>
      </c>
      <c r="C30" s="444">
        <v>990014.63800000004</v>
      </c>
      <c r="D30" s="445">
        <f t="shared" si="0"/>
        <v>100085.22200000007</v>
      </c>
      <c r="E30" s="400">
        <f t="shared" si="1"/>
        <v>0.1124642249155635</v>
      </c>
      <c r="H30" s="584"/>
    </row>
    <row r="31" spans="1:11" ht="14.25" customHeight="1" x14ac:dyDescent="0.4">
      <c r="A31" s="242" t="s">
        <v>110</v>
      </c>
      <c r="B31" s="444">
        <v>357591.32199999999</v>
      </c>
      <c r="C31" s="444">
        <v>399435.99900000001</v>
      </c>
      <c r="D31" s="445">
        <f t="shared" si="0"/>
        <v>41844.677000000025</v>
      </c>
      <c r="E31" s="400">
        <f t="shared" si="1"/>
        <v>0.11701815571464015</v>
      </c>
      <c r="H31" s="584"/>
    </row>
    <row r="32" spans="1:11" ht="14.25" customHeight="1" x14ac:dyDescent="0.4">
      <c r="A32" s="242" t="s">
        <v>201</v>
      </c>
      <c r="B32" s="444">
        <v>477670.29300000006</v>
      </c>
      <c r="C32" s="444">
        <v>609708.48899999994</v>
      </c>
      <c r="D32" s="445">
        <f t="shared" si="0"/>
        <v>132038.19599999988</v>
      </c>
      <c r="E32" s="400">
        <f t="shared" si="1"/>
        <v>0.27642120084700317</v>
      </c>
      <c r="H32" s="584"/>
    </row>
    <row r="33" spans="1:8" ht="14.25" customHeight="1" x14ac:dyDescent="0.4">
      <c r="A33" s="242" t="s">
        <v>97</v>
      </c>
      <c r="B33" s="444">
        <v>4050388.2340000002</v>
      </c>
      <c r="C33" s="444">
        <v>3721606.6680000001</v>
      </c>
      <c r="D33" s="445">
        <f t="shared" si="0"/>
        <v>-328781.56600000011</v>
      </c>
      <c r="E33" s="400">
        <f t="shared" si="1"/>
        <v>-8.1172852330579845E-2</v>
      </c>
      <c r="H33" s="584"/>
    </row>
    <row r="34" spans="1:8" ht="14.25" customHeight="1" x14ac:dyDescent="0.4">
      <c r="A34" s="242" t="s">
        <v>95</v>
      </c>
      <c r="B34" s="444">
        <v>5052840.4720000001</v>
      </c>
      <c r="C34" s="444">
        <v>5001416.568</v>
      </c>
      <c r="D34" s="445">
        <f t="shared" si="0"/>
        <v>-51423.904000000097</v>
      </c>
      <c r="E34" s="400">
        <f t="shared" si="1"/>
        <v>-1.0177226905334227E-2</v>
      </c>
      <c r="H34" s="584"/>
    </row>
    <row r="35" spans="1:8" ht="14.25" customHeight="1" x14ac:dyDescent="0.4">
      <c r="A35" s="242" t="s">
        <v>212</v>
      </c>
      <c r="B35" s="444">
        <v>730362.96399999992</v>
      </c>
      <c r="C35" s="444">
        <v>680444.853</v>
      </c>
      <c r="D35" s="445">
        <f t="shared" si="0"/>
        <v>-49918.110999999917</v>
      </c>
      <c r="E35" s="400">
        <f t="shared" si="1"/>
        <v>-6.834699109961978E-2</v>
      </c>
      <c r="H35" s="584"/>
    </row>
    <row r="36" spans="1:8" ht="14.25" customHeight="1" x14ac:dyDescent="0.4">
      <c r="A36" s="242" t="s">
        <v>106</v>
      </c>
      <c r="B36" s="444">
        <v>175088.10500000004</v>
      </c>
      <c r="C36" s="444">
        <f>212772.532-0.372</f>
        <v>212772.16</v>
      </c>
      <c r="D36" s="445">
        <f t="shared" si="0"/>
        <v>37684.054999999964</v>
      </c>
      <c r="E36" s="400">
        <f t="shared" si="1"/>
        <v>0.21522909851585836</v>
      </c>
      <c r="H36" s="584"/>
    </row>
    <row r="37" spans="1:8" ht="14.25" customHeight="1" x14ac:dyDescent="0.4">
      <c r="A37" s="242" t="s">
        <v>101</v>
      </c>
      <c r="B37" s="444">
        <v>5575257.8959999988</v>
      </c>
      <c r="C37" s="444">
        <v>5309997.8689999999</v>
      </c>
      <c r="D37" s="445">
        <f t="shared" si="0"/>
        <v>-265260.02699999884</v>
      </c>
      <c r="E37" s="400">
        <f t="shared" si="1"/>
        <v>-4.7578072969559161E-2</v>
      </c>
      <c r="H37" s="584"/>
    </row>
    <row r="38" spans="1:8" ht="14.25" customHeight="1" x14ac:dyDescent="0.4">
      <c r="A38" s="242" t="s">
        <v>108</v>
      </c>
      <c r="B38" s="444">
        <v>855634.98399999994</v>
      </c>
      <c r="C38" s="444">
        <v>877899.84</v>
      </c>
      <c r="D38" s="445">
        <f>C38-B38</f>
        <v>22264.856000000029</v>
      </c>
      <c r="E38" s="400">
        <f>D38/B38</f>
        <v>2.6021441872227175E-2</v>
      </c>
      <c r="H38" s="584"/>
    </row>
    <row r="39" spans="1:8" ht="14.25" customHeight="1" x14ac:dyDescent="0.4">
      <c r="A39" s="242" t="s">
        <v>111</v>
      </c>
      <c r="B39" s="444">
        <v>853616.59799999988</v>
      </c>
      <c r="C39" s="444">
        <v>689940.78700000001</v>
      </c>
      <c r="D39" s="445">
        <f>C39-B39</f>
        <v>-163675.81099999987</v>
      </c>
      <c r="E39" s="400">
        <f>D39/B39</f>
        <v>-0.19174394146445581</v>
      </c>
      <c r="H39" s="584"/>
    </row>
    <row r="40" spans="1:8" ht="14.25" customHeight="1" x14ac:dyDescent="0.4">
      <c r="A40" s="242" t="s">
        <v>96</v>
      </c>
      <c r="B40" s="444">
        <v>4469103.5850000009</v>
      </c>
      <c r="C40" s="444">
        <v>5024404.3779999996</v>
      </c>
      <c r="D40" s="445">
        <f t="shared" si="0"/>
        <v>555300.79299999867</v>
      </c>
      <c r="E40" s="400">
        <f t="shared" si="1"/>
        <v>0.12425328311113616</v>
      </c>
      <c r="H40" s="584"/>
    </row>
    <row r="41" spans="1:8" ht="12.75" customHeight="1" x14ac:dyDescent="0.4">
      <c r="A41" s="242" t="s">
        <v>104</v>
      </c>
      <c r="B41" s="444">
        <v>68800.145000000004</v>
      </c>
      <c r="C41" s="444">
        <v>47242.605000000003</v>
      </c>
      <c r="D41" s="445">
        <f>C41-B41</f>
        <v>-21557.54</v>
      </c>
      <c r="E41" s="400">
        <f>D41/B41</f>
        <v>-0.31333567683614622</v>
      </c>
      <c r="H41" s="584"/>
    </row>
    <row r="42" spans="1:8" ht="12" customHeight="1" x14ac:dyDescent="0.4">
      <c r="A42" s="242" t="s">
        <v>109</v>
      </c>
      <c r="B42" s="444">
        <v>56145.78300000001</v>
      </c>
      <c r="C42" s="444">
        <v>84279.979000000007</v>
      </c>
      <c r="D42" s="445">
        <f>C42-B42</f>
        <v>28134.195999999996</v>
      </c>
      <c r="E42" s="400">
        <f>D42/B42</f>
        <v>0.50109188075620903</v>
      </c>
      <c r="H42" s="584"/>
    </row>
    <row r="43" spans="1:8" ht="14.25" customHeight="1" x14ac:dyDescent="0.4">
      <c r="A43" s="242" t="s">
        <v>203</v>
      </c>
      <c r="B43" s="585">
        <v>131450</v>
      </c>
      <c r="C43" s="585">
        <v>70378</v>
      </c>
      <c r="D43" s="445">
        <f>C43-B43</f>
        <v>-61072</v>
      </c>
      <c r="E43" s="400">
        <f>D43/B43</f>
        <v>-0.46460251046025103</v>
      </c>
      <c r="H43" s="568"/>
    </row>
    <row r="44" spans="1:8" ht="14.25" customHeight="1" thickBot="1" x14ac:dyDescent="0.45">
      <c r="A44" s="242" t="s">
        <v>519</v>
      </c>
      <c r="B44" s="586">
        <v>148307.5</v>
      </c>
      <c r="C44" s="586">
        <v>61517.5</v>
      </c>
      <c r="D44" s="445">
        <f>C44-B44</f>
        <v>-86790</v>
      </c>
      <c r="E44" s="400">
        <f>D44/B44</f>
        <v>-0.58520304097904696</v>
      </c>
      <c r="G44" s="96"/>
      <c r="H44" s="584"/>
    </row>
    <row r="45" spans="1:8" ht="18" customHeight="1" thickBot="1" x14ac:dyDescent="0.45">
      <c r="A45" s="232" t="s">
        <v>170</v>
      </c>
      <c r="B45" s="447">
        <f>SUM(B22:B44)</f>
        <v>29135634.424000002</v>
      </c>
      <c r="C45" s="587">
        <f>SUM(C22:C44)</f>
        <v>28732815.880999997</v>
      </c>
      <c r="D45" s="448">
        <f t="shared" si="0"/>
        <v>-402818.54300000519</v>
      </c>
      <c r="E45" s="406">
        <f t="shared" si="1"/>
        <v>-1.3825631429126871E-2</v>
      </c>
      <c r="H45" s="96"/>
    </row>
    <row r="46" spans="1:8" x14ac:dyDescent="0.4">
      <c r="A46" s="2806" t="s">
        <v>561</v>
      </c>
      <c r="B46" s="2806"/>
      <c r="C46" s="2806"/>
      <c r="D46" s="2806"/>
      <c r="E46" s="2806"/>
    </row>
    <row r="47" spans="1:8" x14ac:dyDescent="0.4">
      <c r="A47" s="588"/>
      <c r="C47" s="95"/>
      <c r="D47" s="95">
        <f>+D45/1000</f>
        <v>-402.81854300000521</v>
      </c>
    </row>
    <row r="48" spans="1:8" x14ac:dyDescent="0.4">
      <c r="C48" s="589"/>
    </row>
    <row r="49" spans="1:7" x14ac:dyDescent="0.4">
      <c r="C49" s="96"/>
    </row>
    <row r="50" spans="1:7" x14ac:dyDescent="0.4">
      <c r="C50" s="96"/>
    </row>
    <row r="51" spans="1:7" x14ac:dyDescent="0.4">
      <c r="B51" s="536"/>
    </row>
    <row r="52" spans="1:7" x14ac:dyDescent="0.4">
      <c r="C52" s="96"/>
    </row>
    <row r="57" spans="1:7" x14ac:dyDescent="0.4">
      <c r="A57" s="96"/>
      <c r="B57" s="96"/>
      <c r="C57" s="96"/>
      <c r="D57" s="96"/>
      <c r="E57" s="96"/>
      <c r="F57" s="96"/>
      <c r="G57" s="96"/>
    </row>
    <row r="58" spans="1:7" x14ac:dyDescent="0.4">
      <c r="A58" s="96"/>
      <c r="B58" s="96"/>
      <c r="C58" s="96"/>
      <c r="D58" s="96"/>
      <c r="E58" s="96"/>
      <c r="F58" s="96"/>
      <c r="G58" s="96"/>
    </row>
    <row r="59" spans="1:7" x14ac:dyDescent="0.4">
      <c r="A59" s="96"/>
      <c r="B59" s="96"/>
      <c r="C59" s="96"/>
      <c r="D59" s="96"/>
      <c r="E59" s="96"/>
      <c r="F59" s="96"/>
      <c r="G59" s="96"/>
    </row>
    <row r="60" spans="1:7" x14ac:dyDescent="0.4">
      <c r="A60" s="96"/>
      <c r="B60" s="96"/>
      <c r="C60" s="96"/>
      <c r="D60" s="96"/>
      <c r="E60" s="96"/>
      <c r="F60" s="96"/>
      <c r="G60" s="96"/>
    </row>
    <row r="61" spans="1:7" x14ac:dyDescent="0.4">
      <c r="A61" s="96"/>
      <c r="B61" s="96"/>
      <c r="C61" s="96"/>
      <c r="D61" s="96"/>
      <c r="E61" s="96"/>
      <c r="F61" s="96"/>
      <c r="G61" s="96"/>
    </row>
    <row r="62" spans="1:7" x14ac:dyDescent="0.4">
      <c r="A62" s="96"/>
      <c r="B62" s="96"/>
      <c r="C62" s="96"/>
      <c r="D62" s="96"/>
      <c r="E62" s="96"/>
      <c r="F62" s="96"/>
      <c r="G62" s="96"/>
    </row>
    <row r="63" spans="1:7" x14ac:dyDescent="0.4">
      <c r="A63" s="96"/>
      <c r="B63" s="96"/>
      <c r="C63" s="96"/>
      <c r="D63" s="96"/>
      <c r="E63" s="96"/>
      <c r="F63" s="96"/>
      <c r="G63" s="96"/>
    </row>
    <row r="64" spans="1:7" x14ac:dyDescent="0.4">
      <c r="A64" s="96"/>
      <c r="B64" s="96"/>
      <c r="C64" s="96"/>
      <c r="D64" s="96"/>
      <c r="E64" s="96"/>
      <c r="F64" s="96"/>
      <c r="G64" s="96"/>
    </row>
    <row r="65" spans="1:7" x14ac:dyDescent="0.4">
      <c r="A65" s="96"/>
      <c r="B65" s="96"/>
      <c r="C65" s="96"/>
      <c r="D65" s="96"/>
      <c r="E65" s="96"/>
      <c r="F65" s="96"/>
      <c r="G65" s="96"/>
    </row>
    <row r="66" spans="1:7" x14ac:dyDescent="0.4">
      <c r="A66" s="96"/>
      <c r="B66" s="96"/>
      <c r="C66" s="96"/>
      <c r="D66" s="96"/>
      <c r="E66" s="96"/>
      <c r="F66" s="96"/>
      <c r="G66" s="96"/>
    </row>
    <row r="67" spans="1:7" x14ac:dyDescent="0.4">
      <c r="A67" s="96"/>
      <c r="B67" s="96"/>
      <c r="C67" s="96"/>
      <c r="D67" s="96"/>
      <c r="E67" s="96"/>
      <c r="F67" s="96"/>
      <c r="G67" s="96"/>
    </row>
    <row r="68" spans="1:7" x14ac:dyDescent="0.4">
      <c r="A68" s="96"/>
      <c r="B68" s="96"/>
      <c r="C68" s="96"/>
      <c r="D68" s="96"/>
      <c r="E68" s="96"/>
      <c r="F68" s="96"/>
      <c r="G68" s="96"/>
    </row>
    <row r="69" spans="1:7" x14ac:dyDescent="0.4">
      <c r="A69" s="96"/>
      <c r="B69" s="96"/>
      <c r="C69" s="96"/>
      <c r="D69" s="96"/>
      <c r="E69" s="96"/>
      <c r="F69" s="96"/>
      <c r="G69" s="96"/>
    </row>
    <row r="70" spans="1:7" x14ac:dyDescent="0.4">
      <c r="A70" s="96"/>
      <c r="B70" s="96"/>
      <c r="C70" s="96"/>
      <c r="D70" s="96"/>
      <c r="E70" s="96"/>
      <c r="F70" s="96"/>
      <c r="G70" s="96"/>
    </row>
    <row r="71" spans="1:7" x14ac:dyDescent="0.4">
      <c r="A71" s="96"/>
      <c r="B71" s="96"/>
      <c r="C71" s="96"/>
      <c r="D71" s="96"/>
      <c r="E71" s="96"/>
      <c r="F71" s="96"/>
      <c r="G71" s="96"/>
    </row>
    <row r="72" spans="1:7" x14ac:dyDescent="0.4">
      <c r="A72" s="96"/>
      <c r="B72" s="96"/>
      <c r="C72" s="96"/>
      <c r="D72" s="96"/>
      <c r="E72" s="96"/>
      <c r="F72" s="96"/>
      <c r="G72" s="96"/>
    </row>
    <row r="73" spans="1:7" x14ac:dyDescent="0.4">
      <c r="A73" s="96"/>
      <c r="B73" s="96"/>
      <c r="C73" s="96"/>
      <c r="D73" s="96"/>
      <c r="E73" s="96"/>
      <c r="F73" s="96"/>
      <c r="G73" s="96"/>
    </row>
    <row r="74" spans="1:7" x14ac:dyDescent="0.4">
      <c r="A74" s="96"/>
      <c r="B74" s="96"/>
      <c r="C74" s="96"/>
      <c r="D74" s="96"/>
      <c r="E74" s="96"/>
      <c r="F74" s="96"/>
      <c r="G74" s="96"/>
    </row>
    <row r="75" spans="1:7" x14ac:dyDescent="0.4">
      <c r="A75" s="96"/>
      <c r="B75" s="96"/>
      <c r="C75" s="96"/>
      <c r="D75" s="96"/>
      <c r="E75" s="96"/>
      <c r="F75" s="96"/>
      <c r="G75" s="96"/>
    </row>
    <row r="76" spans="1:7" x14ac:dyDescent="0.4">
      <c r="A76" s="96"/>
      <c r="B76" s="96"/>
      <c r="C76" s="96"/>
      <c r="D76" s="96"/>
      <c r="E76" s="96"/>
      <c r="F76" s="96"/>
      <c r="G76" s="96"/>
    </row>
    <row r="77" spans="1:7" x14ac:dyDescent="0.4">
      <c r="A77" s="96"/>
      <c r="B77" s="96"/>
      <c r="C77" s="96"/>
      <c r="D77" s="96"/>
      <c r="E77" s="96"/>
      <c r="F77" s="96"/>
      <c r="G77" s="96"/>
    </row>
    <row r="78" spans="1:7" x14ac:dyDescent="0.4">
      <c r="A78" s="96"/>
      <c r="B78" s="96"/>
      <c r="C78" s="96"/>
      <c r="D78" s="96"/>
      <c r="E78" s="96"/>
      <c r="F78" s="96"/>
      <c r="G78" s="96"/>
    </row>
  </sheetData>
  <mergeCells count="7">
    <mergeCell ref="A46:E46"/>
    <mergeCell ref="A18:E18"/>
    <mergeCell ref="A19:E19"/>
    <mergeCell ref="A20:A21"/>
    <mergeCell ref="B20:C20"/>
    <mergeCell ref="D20:D21"/>
    <mergeCell ref="E20:E21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firstPageNumber="4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A1:P37"/>
  <sheetViews>
    <sheetView rightToLeft="1" zoomScaleNormal="100" workbookViewId="0">
      <pane xSplit="1" ySplit="2" topLeftCell="B18" activePane="bottomRight" state="frozen"/>
      <selection activeCell="C20" sqref="C20"/>
      <selection pane="topRight" activeCell="C20" sqref="C20"/>
      <selection pane="bottomLeft" activeCell="C20" sqref="C20"/>
      <selection pane="bottomRight" activeCell="B26" sqref="B26:M26"/>
    </sheetView>
  </sheetViews>
  <sheetFormatPr defaultColWidth="11.25" defaultRowHeight="17.25" x14ac:dyDescent="0.2"/>
  <cols>
    <col min="1" max="1" width="17.375" style="590" bestFit="1" customWidth="1"/>
    <col min="2" max="13" width="15.75" style="590" bestFit="1" customWidth="1"/>
    <col min="14" max="14" width="14" style="590" bestFit="1" customWidth="1"/>
    <col min="15" max="15" width="12.375" style="590" bestFit="1" customWidth="1"/>
    <col min="16" max="16384" width="11.25" style="590"/>
  </cols>
  <sheetData>
    <row r="1" spans="1:16" ht="30" customHeight="1" thickBot="1" x14ac:dyDescent="0.25">
      <c r="A1" s="2821" t="s">
        <v>562</v>
      </c>
      <c r="B1" s="2821"/>
      <c r="C1" s="2821"/>
      <c r="D1" s="2821"/>
      <c r="E1" s="2821"/>
      <c r="F1" s="2821"/>
      <c r="G1" s="2821"/>
      <c r="H1" s="2821"/>
      <c r="I1" s="2821"/>
      <c r="J1" s="2821"/>
      <c r="K1" s="2821"/>
      <c r="L1" s="2821"/>
      <c r="M1" s="2821"/>
      <c r="N1" s="2821"/>
    </row>
    <row r="2" spans="1:16" ht="48" customHeight="1" thickBot="1" x14ac:dyDescent="0.25">
      <c r="A2" s="591" t="s">
        <v>118</v>
      </c>
      <c r="B2" s="592" t="s">
        <v>197</v>
      </c>
      <c r="C2" s="593" t="s">
        <v>159</v>
      </c>
      <c r="D2" s="593" t="s">
        <v>160</v>
      </c>
      <c r="E2" s="593" t="s">
        <v>161</v>
      </c>
      <c r="F2" s="593" t="s">
        <v>162</v>
      </c>
      <c r="G2" s="594" t="s">
        <v>163</v>
      </c>
      <c r="H2" s="594" t="s">
        <v>164</v>
      </c>
      <c r="I2" s="593" t="s">
        <v>520</v>
      </c>
      <c r="J2" s="593" t="s">
        <v>166</v>
      </c>
      <c r="K2" s="593" t="s">
        <v>521</v>
      </c>
      <c r="L2" s="593" t="s">
        <v>168</v>
      </c>
      <c r="M2" s="593" t="s">
        <v>169</v>
      </c>
      <c r="N2" s="591" t="s">
        <v>170</v>
      </c>
    </row>
    <row r="3" spans="1:16" ht="24" customHeight="1" thickBot="1" x14ac:dyDescent="0.25">
      <c r="A3" s="595" t="s">
        <v>526</v>
      </c>
      <c r="B3" s="596">
        <v>337354375</v>
      </c>
      <c r="C3" s="596">
        <v>344973224</v>
      </c>
      <c r="D3" s="596">
        <v>301512180</v>
      </c>
      <c r="E3" s="596">
        <v>279595842</v>
      </c>
      <c r="F3" s="596">
        <v>282806518</v>
      </c>
      <c r="G3" s="596">
        <v>281435381</v>
      </c>
      <c r="H3" s="596">
        <v>338708852</v>
      </c>
      <c r="I3" s="596">
        <v>345063101</v>
      </c>
      <c r="J3" s="596">
        <v>358759450</v>
      </c>
      <c r="K3" s="596">
        <v>341592970</v>
      </c>
      <c r="L3" s="596">
        <v>366398679</v>
      </c>
      <c r="M3" s="596">
        <v>366509031</v>
      </c>
      <c r="N3" s="597">
        <f t="shared" ref="N3:N26" si="0">SUM(B3:M3)</f>
        <v>3944709603</v>
      </c>
      <c r="O3" s="598">
        <f>+N3-'52'!Y3</f>
        <v>0</v>
      </c>
      <c r="P3" s="598"/>
    </row>
    <row r="4" spans="1:16" ht="24" customHeight="1" thickBot="1" x14ac:dyDescent="0.25">
      <c r="A4" s="599" t="s">
        <v>527</v>
      </c>
      <c r="B4" s="596">
        <v>77153065</v>
      </c>
      <c r="C4" s="596">
        <v>66672533</v>
      </c>
      <c r="D4" s="596">
        <v>51718938</v>
      </c>
      <c r="E4" s="596">
        <v>76309730</v>
      </c>
      <c r="F4" s="596">
        <v>67863442</v>
      </c>
      <c r="G4" s="596">
        <v>56851240</v>
      </c>
      <c r="H4" s="596">
        <v>61399312</v>
      </c>
      <c r="I4" s="596">
        <v>46339918</v>
      </c>
      <c r="J4" s="596">
        <v>40214562</v>
      </c>
      <c r="K4" s="596">
        <v>42925976</v>
      </c>
      <c r="L4" s="596">
        <v>47469351</v>
      </c>
      <c r="M4" s="596">
        <v>46611713</v>
      </c>
      <c r="N4" s="597">
        <f t="shared" si="0"/>
        <v>681529780</v>
      </c>
      <c r="O4" s="598">
        <f>+N4-'52'!Y4</f>
        <v>0</v>
      </c>
      <c r="P4" s="598"/>
    </row>
    <row r="5" spans="1:16" ht="24" customHeight="1" thickBot="1" x14ac:dyDescent="0.25">
      <c r="A5" s="599" t="s">
        <v>528</v>
      </c>
      <c r="B5" s="596">
        <v>1400784007</v>
      </c>
      <c r="C5" s="596">
        <v>1242956907</v>
      </c>
      <c r="D5" s="596">
        <v>1135747544</v>
      </c>
      <c r="E5" s="596">
        <v>1090162626</v>
      </c>
      <c r="F5" s="596">
        <v>982472600</v>
      </c>
      <c r="G5" s="596">
        <v>1169894255</v>
      </c>
      <c r="H5" s="596">
        <v>1149864779</v>
      </c>
      <c r="I5" s="596">
        <v>1064542852</v>
      </c>
      <c r="J5" s="596">
        <v>1058686180</v>
      </c>
      <c r="K5" s="596">
        <v>1070199669</v>
      </c>
      <c r="L5" s="596">
        <v>1043497042</v>
      </c>
      <c r="M5" s="596">
        <v>1075867733</v>
      </c>
      <c r="N5" s="600">
        <f t="shared" si="0"/>
        <v>13484676194</v>
      </c>
      <c r="O5" s="598">
        <f>+N5-'52'!Y5</f>
        <v>0</v>
      </c>
      <c r="P5" s="598"/>
    </row>
    <row r="6" spans="1:16" ht="24" customHeight="1" thickBot="1" x14ac:dyDescent="0.25">
      <c r="A6" s="595" t="s">
        <v>529</v>
      </c>
      <c r="B6" s="601">
        <f t="shared" ref="B6:M6" si="1">SUM(B4:B5)</f>
        <v>1477937072</v>
      </c>
      <c r="C6" s="601">
        <f t="shared" si="1"/>
        <v>1309629440</v>
      </c>
      <c r="D6" s="601">
        <f t="shared" si="1"/>
        <v>1187466482</v>
      </c>
      <c r="E6" s="601">
        <f t="shared" si="1"/>
        <v>1166472356</v>
      </c>
      <c r="F6" s="601">
        <f t="shared" si="1"/>
        <v>1050336042</v>
      </c>
      <c r="G6" s="601">
        <f t="shared" si="1"/>
        <v>1226745495</v>
      </c>
      <c r="H6" s="601">
        <f t="shared" si="1"/>
        <v>1211264091</v>
      </c>
      <c r="I6" s="601">
        <f t="shared" si="1"/>
        <v>1110882770</v>
      </c>
      <c r="J6" s="601">
        <f t="shared" si="1"/>
        <v>1098900742</v>
      </c>
      <c r="K6" s="601">
        <f t="shared" si="1"/>
        <v>1113125645</v>
      </c>
      <c r="L6" s="601">
        <f t="shared" si="1"/>
        <v>1090966393</v>
      </c>
      <c r="M6" s="601">
        <f t="shared" si="1"/>
        <v>1122479446</v>
      </c>
      <c r="N6" s="597">
        <f t="shared" si="0"/>
        <v>14166205974</v>
      </c>
      <c r="O6" s="598">
        <f>+N6-'52'!Y6</f>
        <v>0</v>
      </c>
      <c r="P6" s="598"/>
    </row>
    <row r="7" spans="1:16" ht="24" customHeight="1" thickBot="1" x14ac:dyDescent="0.25">
      <c r="A7" s="599" t="s">
        <v>530</v>
      </c>
      <c r="B7" s="596">
        <v>31396573</v>
      </c>
      <c r="C7" s="596">
        <v>35836842</v>
      </c>
      <c r="D7" s="596">
        <v>33157947</v>
      </c>
      <c r="E7" s="596">
        <v>25037309</v>
      </c>
      <c r="F7" s="596">
        <v>16017576</v>
      </c>
      <c r="G7" s="596">
        <v>15736669</v>
      </c>
      <c r="H7" s="596">
        <v>26634033</v>
      </c>
      <c r="I7" s="596">
        <v>20718140</v>
      </c>
      <c r="J7" s="596">
        <v>17614123</v>
      </c>
      <c r="K7" s="596">
        <v>4818553</v>
      </c>
      <c r="L7" s="596">
        <v>16866776</v>
      </c>
      <c r="M7" s="596">
        <v>20749239</v>
      </c>
      <c r="N7" s="600">
        <f t="shared" si="0"/>
        <v>264583780</v>
      </c>
      <c r="O7" s="598">
        <f>+N7-'52'!Y7</f>
        <v>0</v>
      </c>
      <c r="P7" s="598"/>
    </row>
    <row r="8" spans="1:16" ht="24" customHeight="1" thickBot="1" x14ac:dyDescent="0.25">
      <c r="A8" s="595" t="s">
        <v>531</v>
      </c>
      <c r="B8" s="596">
        <v>14133101</v>
      </c>
      <c r="C8" s="596">
        <v>23042834</v>
      </c>
      <c r="D8" s="596">
        <v>23791682</v>
      </c>
      <c r="E8" s="596">
        <v>9613846</v>
      </c>
      <c r="F8" s="596">
        <v>10829480</v>
      </c>
      <c r="G8" s="596">
        <v>10007891</v>
      </c>
      <c r="H8" s="596">
        <v>18228475</v>
      </c>
      <c r="I8" s="596">
        <v>23758915</v>
      </c>
      <c r="J8" s="596">
        <v>18388285</v>
      </c>
      <c r="K8" s="596">
        <v>11460048</v>
      </c>
      <c r="L8" s="596">
        <v>22062290</v>
      </c>
      <c r="M8" s="596">
        <v>25932519</v>
      </c>
      <c r="N8" s="597">
        <f t="shared" si="0"/>
        <v>211249366</v>
      </c>
      <c r="O8" s="598">
        <f>+N8-'52'!Y8</f>
        <v>0</v>
      </c>
      <c r="P8" s="598"/>
    </row>
    <row r="9" spans="1:16" ht="24" customHeight="1" thickBot="1" x14ac:dyDescent="0.25">
      <c r="A9" s="599" t="s">
        <v>532</v>
      </c>
      <c r="B9" s="596">
        <v>98700024</v>
      </c>
      <c r="C9" s="596">
        <v>109441944</v>
      </c>
      <c r="D9" s="596">
        <v>110384405</v>
      </c>
      <c r="E9" s="596">
        <v>189427293</v>
      </c>
      <c r="F9" s="596">
        <v>175676866</v>
      </c>
      <c r="G9" s="596">
        <v>113849910</v>
      </c>
      <c r="H9" s="596">
        <v>121741477</v>
      </c>
      <c r="I9" s="596">
        <v>92481603</v>
      </c>
      <c r="J9" s="596">
        <v>158064029</v>
      </c>
      <c r="K9" s="596">
        <v>138535220</v>
      </c>
      <c r="L9" s="596">
        <v>102099244</v>
      </c>
      <c r="M9" s="596">
        <v>76680570</v>
      </c>
      <c r="N9" s="600">
        <f t="shared" si="0"/>
        <v>1487082585</v>
      </c>
      <c r="O9" s="598">
        <f>+N9-'52'!Y9</f>
        <v>0</v>
      </c>
      <c r="P9" s="598"/>
    </row>
    <row r="10" spans="1:16" ht="24" customHeight="1" thickBot="1" x14ac:dyDescent="0.25">
      <c r="A10" s="599" t="s">
        <v>533</v>
      </c>
      <c r="B10" s="596">
        <v>8356207</v>
      </c>
      <c r="C10" s="596">
        <v>7700749</v>
      </c>
      <c r="D10" s="596">
        <v>12715030</v>
      </c>
      <c r="E10" s="596">
        <v>8397989</v>
      </c>
      <c r="F10" s="596">
        <v>7085835</v>
      </c>
      <c r="G10" s="596">
        <v>7399029</v>
      </c>
      <c r="H10" s="596">
        <v>12849499</v>
      </c>
      <c r="I10" s="596">
        <v>12145745</v>
      </c>
      <c r="J10" s="596">
        <v>16042368</v>
      </c>
      <c r="K10" s="596">
        <v>12837181</v>
      </c>
      <c r="L10" s="596">
        <v>15022361</v>
      </c>
      <c r="M10" s="596">
        <v>8418871</v>
      </c>
      <c r="N10" s="600">
        <f t="shared" si="0"/>
        <v>128970864</v>
      </c>
      <c r="O10" s="598">
        <f>+N10-'52'!Y10</f>
        <v>0</v>
      </c>
      <c r="P10" s="598"/>
    </row>
    <row r="11" spans="1:16" ht="24" customHeight="1" thickBot="1" x14ac:dyDescent="0.25">
      <c r="A11" s="595" t="s">
        <v>170</v>
      </c>
      <c r="B11" s="601">
        <f t="shared" ref="B11:M11" si="2">SUM(B9:B10)</f>
        <v>107056231</v>
      </c>
      <c r="C11" s="601">
        <f t="shared" si="2"/>
        <v>117142693</v>
      </c>
      <c r="D11" s="601">
        <f t="shared" si="2"/>
        <v>123099435</v>
      </c>
      <c r="E11" s="601">
        <f t="shared" si="2"/>
        <v>197825282</v>
      </c>
      <c r="F11" s="601">
        <f t="shared" si="2"/>
        <v>182762701</v>
      </c>
      <c r="G11" s="601">
        <f t="shared" si="2"/>
        <v>121248939</v>
      </c>
      <c r="H11" s="601">
        <f t="shared" si="2"/>
        <v>134590976</v>
      </c>
      <c r="I11" s="601">
        <f t="shared" si="2"/>
        <v>104627348</v>
      </c>
      <c r="J11" s="601">
        <f t="shared" si="2"/>
        <v>174106397</v>
      </c>
      <c r="K11" s="601">
        <f t="shared" si="2"/>
        <v>151372401</v>
      </c>
      <c r="L11" s="601">
        <f t="shared" si="2"/>
        <v>117121605</v>
      </c>
      <c r="M11" s="601">
        <f t="shared" si="2"/>
        <v>85099441</v>
      </c>
      <c r="N11" s="597">
        <f t="shared" si="0"/>
        <v>1616053449</v>
      </c>
      <c r="O11" s="598">
        <f>+N11-'52'!Y11</f>
        <v>0</v>
      </c>
      <c r="P11" s="598"/>
    </row>
    <row r="12" spans="1:16" ht="24" customHeight="1" thickBot="1" x14ac:dyDescent="0.25">
      <c r="A12" s="595" t="s">
        <v>534</v>
      </c>
      <c r="B12" s="596">
        <v>71867161</v>
      </c>
      <c r="C12" s="596">
        <v>55885817</v>
      </c>
      <c r="D12" s="596">
        <v>78285215</v>
      </c>
      <c r="E12" s="596">
        <v>39810565</v>
      </c>
      <c r="F12" s="596">
        <v>40519693</v>
      </c>
      <c r="G12" s="596">
        <v>80423892</v>
      </c>
      <c r="H12" s="596">
        <v>68656781</v>
      </c>
      <c r="I12" s="596">
        <v>33992404</v>
      </c>
      <c r="J12" s="596">
        <v>45689716</v>
      </c>
      <c r="K12" s="596">
        <v>58466382</v>
      </c>
      <c r="L12" s="596">
        <v>59970163</v>
      </c>
      <c r="M12" s="596">
        <v>34409479</v>
      </c>
      <c r="N12" s="597">
        <f t="shared" si="0"/>
        <v>667977268</v>
      </c>
      <c r="O12" s="598">
        <f>+N12-'52'!Y12</f>
        <v>0</v>
      </c>
      <c r="P12" s="598"/>
    </row>
    <row r="13" spans="1:16" ht="24" customHeight="1" thickBot="1" x14ac:dyDescent="0.25">
      <c r="A13" s="599" t="s">
        <v>535</v>
      </c>
      <c r="B13" s="596">
        <v>96067698</v>
      </c>
      <c r="C13" s="596">
        <v>162323341</v>
      </c>
      <c r="D13" s="596">
        <v>163878548</v>
      </c>
      <c r="E13" s="596">
        <v>142612079</v>
      </c>
      <c r="F13" s="596">
        <v>94680063</v>
      </c>
      <c r="G13" s="596">
        <v>70283259</v>
      </c>
      <c r="H13" s="596">
        <v>122539300</v>
      </c>
      <c r="I13" s="596">
        <v>167769357</v>
      </c>
      <c r="J13" s="596">
        <v>129361889</v>
      </c>
      <c r="K13" s="596">
        <v>148120872</v>
      </c>
      <c r="L13" s="596">
        <v>148980736</v>
      </c>
      <c r="M13" s="596">
        <v>162410761</v>
      </c>
      <c r="N13" s="600">
        <f t="shared" si="0"/>
        <v>1609027903</v>
      </c>
      <c r="O13" s="598">
        <f>+N13-'52'!Y13</f>
        <v>0</v>
      </c>
      <c r="P13" s="598"/>
    </row>
    <row r="14" spans="1:16" ht="24" customHeight="1" thickBot="1" x14ac:dyDescent="0.25">
      <c r="A14" s="599" t="s">
        <v>536</v>
      </c>
      <c r="B14" s="596">
        <v>7350896</v>
      </c>
      <c r="C14" s="596">
        <v>7984406</v>
      </c>
      <c r="D14" s="596">
        <v>9728148</v>
      </c>
      <c r="E14" s="596">
        <v>9083269</v>
      </c>
      <c r="F14" s="596">
        <v>5063107</v>
      </c>
      <c r="G14" s="596">
        <v>5882782</v>
      </c>
      <c r="H14" s="596">
        <v>5948833</v>
      </c>
      <c r="I14" s="596">
        <v>6777914</v>
      </c>
      <c r="J14" s="596">
        <v>4259579</v>
      </c>
      <c r="K14" s="596">
        <v>3587589</v>
      </c>
      <c r="L14" s="596">
        <v>7456218</v>
      </c>
      <c r="M14" s="596">
        <v>6662342</v>
      </c>
      <c r="N14" s="600">
        <f t="shared" si="0"/>
        <v>79785083</v>
      </c>
      <c r="O14" s="598">
        <f>+N14-'52'!Y14</f>
        <v>0</v>
      </c>
      <c r="P14" s="598"/>
    </row>
    <row r="15" spans="1:16" ht="24" customHeight="1" thickBot="1" x14ac:dyDescent="0.25">
      <c r="A15" s="595" t="s">
        <v>170</v>
      </c>
      <c r="B15" s="601">
        <f t="shared" ref="B15:M15" si="3">SUM(B13:B14)</f>
        <v>103418594</v>
      </c>
      <c r="C15" s="601">
        <f t="shared" si="3"/>
        <v>170307747</v>
      </c>
      <c r="D15" s="601">
        <f t="shared" si="3"/>
        <v>173606696</v>
      </c>
      <c r="E15" s="601">
        <f t="shared" si="3"/>
        <v>151695348</v>
      </c>
      <c r="F15" s="601">
        <f t="shared" si="3"/>
        <v>99743170</v>
      </c>
      <c r="G15" s="601">
        <f t="shared" si="3"/>
        <v>76166041</v>
      </c>
      <c r="H15" s="601">
        <f t="shared" si="3"/>
        <v>128488133</v>
      </c>
      <c r="I15" s="601">
        <f t="shared" si="3"/>
        <v>174547271</v>
      </c>
      <c r="J15" s="601">
        <f t="shared" si="3"/>
        <v>133621468</v>
      </c>
      <c r="K15" s="601">
        <f t="shared" si="3"/>
        <v>151708461</v>
      </c>
      <c r="L15" s="601">
        <f t="shared" si="3"/>
        <v>156436954</v>
      </c>
      <c r="M15" s="601">
        <f t="shared" si="3"/>
        <v>169073103</v>
      </c>
      <c r="N15" s="597">
        <f t="shared" si="0"/>
        <v>1688812986</v>
      </c>
      <c r="O15" s="598">
        <f>+N15-'52'!Y15</f>
        <v>0</v>
      </c>
      <c r="P15" s="598"/>
    </row>
    <row r="16" spans="1:16" ht="24" customHeight="1" thickBot="1" x14ac:dyDescent="0.25">
      <c r="A16" s="599" t="s">
        <v>537</v>
      </c>
      <c r="B16" s="596">
        <v>10284721</v>
      </c>
      <c r="C16" s="596">
        <v>12620232</v>
      </c>
      <c r="D16" s="596">
        <v>10407279</v>
      </c>
      <c r="E16" s="596">
        <v>9179311</v>
      </c>
      <c r="F16" s="596">
        <v>8577456</v>
      </c>
      <c r="G16" s="596">
        <v>12759537</v>
      </c>
      <c r="H16" s="596">
        <v>14201953</v>
      </c>
      <c r="I16" s="596">
        <v>16793776</v>
      </c>
      <c r="J16" s="596">
        <v>9337482</v>
      </c>
      <c r="K16" s="596">
        <v>16425150</v>
      </c>
      <c r="L16" s="596">
        <v>11258588</v>
      </c>
      <c r="M16" s="596">
        <v>11279731</v>
      </c>
      <c r="N16" s="600">
        <f t="shared" si="0"/>
        <v>143125216</v>
      </c>
      <c r="O16" s="598">
        <f>+N16-'52'!Y16</f>
        <v>0</v>
      </c>
      <c r="P16" s="598"/>
    </row>
    <row r="17" spans="1:16" ht="24" customHeight="1" thickBot="1" x14ac:dyDescent="0.25">
      <c r="A17" s="599" t="s">
        <v>538</v>
      </c>
      <c r="B17" s="596">
        <v>6045209</v>
      </c>
      <c r="C17" s="596">
        <v>4109167</v>
      </c>
      <c r="D17" s="596">
        <v>4651969</v>
      </c>
      <c r="E17" s="596">
        <v>3636348</v>
      </c>
      <c r="F17" s="596">
        <v>2734428</v>
      </c>
      <c r="G17" s="596">
        <v>5652119</v>
      </c>
      <c r="H17" s="596">
        <v>6002911</v>
      </c>
      <c r="I17" s="596">
        <v>5995731</v>
      </c>
      <c r="J17" s="596">
        <v>4717644</v>
      </c>
      <c r="K17" s="596">
        <v>6240809</v>
      </c>
      <c r="L17" s="596">
        <v>7980331</v>
      </c>
      <c r="M17" s="596">
        <v>5495456</v>
      </c>
      <c r="N17" s="600">
        <f t="shared" si="0"/>
        <v>63262122</v>
      </c>
      <c r="O17" s="598">
        <f>+N17-'52'!Y17</f>
        <v>0</v>
      </c>
      <c r="P17" s="598"/>
    </row>
    <row r="18" spans="1:16" ht="24" customHeight="1" thickBot="1" x14ac:dyDescent="0.25">
      <c r="A18" s="599" t="s">
        <v>539</v>
      </c>
      <c r="B18" s="602">
        <v>0</v>
      </c>
      <c r="C18" s="596">
        <v>899250</v>
      </c>
      <c r="D18" s="596">
        <v>90750</v>
      </c>
      <c r="E18" s="602">
        <v>0</v>
      </c>
      <c r="F18" s="602">
        <v>0</v>
      </c>
      <c r="G18" s="602">
        <v>0</v>
      </c>
      <c r="H18" s="596">
        <v>637142</v>
      </c>
      <c r="I18" s="596">
        <v>496892</v>
      </c>
      <c r="J18" s="602">
        <v>0</v>
      </c>
      <c r="K18" s="602">
        <v>0</v>
      </c>
      <c r="L18" s="602">
        <v>0</v>
      </c>
      <c r="M18" s="602">
        <v>0</v>
      </c>
      <c r="N18" s="600">
        <f t="shared" si="0"/>
        <v>2124034</v>
      </c>
      <c r="O18" s="598">
        <f>+N18-'52'!Y18</f>
        <v>0</v>
      </c>
      <c r="P18" s="598"/>
    </row>
    <row r="19" spans="1:16" ht="24" customHeight="1" thickBot="1" x14ac:dyDescent="0.25">
      <c r="A19" s="599" t="s">
        <v>540</v>
      </c>
      <c r="B19" s="596">
        <v>122854486</v>
      </c>
      <c r="C19" s="596">
        <v>104442973</v>
      </c>
      <c r="D19" s="596">
        <v>110967969</v>
      </c>
      <c r="E19" s="596">
        <v>119832829</v>
      </c>
      <c r="F19" s="596">
        <v>202663700</v>
      </c>
      <c r="G19" s="596">
        <v>202586591</v>
      </c>
      <c r="H19" s="596">
        <v>279020688</v>
      </c>
      <c r="I19" s="596">
        <v>266346175</v>
      </c>
      <c r="J19" s="596">
        <v>259542303</v>
      </c>
      <c r="K19" s="596">
        <v>353840421</v>
      </c>
      <c r="L19" s="596">
        <v>367771310</v>
      </c>
      <c r="M19" s="596">
        <v>310838520</v>
      </c>
      <c r="N19" s="600">
        <f t="shared" si="0"/>
        <v>2700707965</v>
      </c>
      <c r="O19" s="598">
        <f>+N19-'52'!Y19</f>
        <v>0</v>
      </c>
      <c r="P19" s="598"/>
    </row>
    <row r="20" spans="1:16" ht="24" customHeight="1" thickBot="1" x14ac:dyDescent="0.25">
      <c r="A20" s="599" t="s">
        <v>541</v>
      </c>
      <c r="B20" s="596">
        <v>150706952</v>
      </c>
      <c r="C20" s="596">
        <v>168058331</v>
      </c>
      <c r="D20" s="596">
        <v>182829395</v>
      </c>
      <c r="E20" s="596">
        <v>169596555</v>
      </c>
      <c r="F20" s="596">
        <v>189191315</v>
      </c>
      <c r="G20" s="596">
        <v>186523555</v>
      </c>
      <c r="H20" s="596">
        <v>175953764</v>
      </c>
      <c r="I20" s="596">
        <v>176373455</v>
      </c>
      <c r="J20" s="596">
        <v>165216326</v>
      </c>
      <c r="K20" s="596">
        <v>156811426</v>
      </c>
      <c r="L20" s="596">
        <v>148620468</v>
      </c>
      <c r="M20" s="596">
        <v>202745365</v>
      </c>
      <c r="N20" s="600">
        <f t="shared" si="0"/>
        <v>2072626907</v>
      </c>
      <c r="O20" s="598">
        <f>+N20-'52'!Y20</f>
        <v>0</v>
      </c>
      <c r="P20" s="598"/>
    </row>
    <row r="21" spans="1:16" ht="24" customHeight="1" thickBot="1" x14ac:dyDescent="0.25">
      <c r="A21" s="599" t="s">
        <v>542</v>
      </c>
      <c r="B21" s="596">
        <v>91829570</v>
      </c>
      <c r="C21" s="596">
        <v>93739337</v>
      </c>
      <c r="D21" s="596">
        <f>72366441-6</f>
        <v>72366435</v>
      </c>
      <c r="E21" s="596">
        <v>72477012</v>
      </c>
      <c r="F21" s="596">
        <v>85191384</v>
      </c>
      <c r="G21" s="596">
        <v>65665806</v>
      </c>
      <c r="H21" s="596">
        <v>100840884</v>
      </c>
      <c r="I21" s="596">
        <v>116883212</v>
      </c>
      <c r="J21" s="596">
        <v>88852192</v>
      </c>
      <c r="K21" s="596">
        <v>102608134</v>
      </c>
      <c r="L21" s="596">
        <v>89809005</v>
      </c>
      <c r="M21" s="596">
        <v>79218740</v>
      </c>
      <c r="N21" s="600">
        <f t="shared" si="0"/>
        <v>1059481711</v>
      </c>
      <c r="O21" s="598">
        <f>+N21-'52'!Y21</f>
        <v>0</v>
      </c>
      <c r="P21" s="598"/>
    </row>
    <row r="22" spans="1:16" ht="24" customHeight="1" thickBot="1" x14ac:dyDescent="0.25">
      <c r="A22" s="595" t="s">
        <v>170</v>
      </c>
      <c r="B22" s="601">
        <f t="shared" ref="B22:M22" si="4">SUM(B16:B21)</f>
        <v>381720938</v>
      </c>
      <c r="C22" s="601">
        <f t="shared" si="4"/>
        <v>383869290</v>
      </c>
      <c r="D22" s="601">
        <f t="shared" si="4"/>
        <v>381313797</v>
      </c>
      <c r="E22" s="601">
        <f t="shared" si="4"/>
        <v>374722055</v>
      </c>
      <c r="F22" s="601">
        <f t="shared" si="4"/>
        <v>488358283</v>
      </c>
      <c r="G22" s="601">
        <f t="shared" si="4"/>
        <v>473187608</v>
      </c>
      <c r="H22" s="601">
        <f t="shared" si="4"/>
        <v>576657342</v>
      </c>
      <c r="I22" s="601">
        <f t="shared" si="4"/>
        <v>582889241</v>
      </c>
      <c r="J22" s="601">
        <f t="shared" si="4"/>
        <v>527665947</v>
      </c>
      <c r="K22" s="601">
        <f t="shared" si="4"/>
        <v>635925940</v>
      </c>
      <c r="L22" s="601">
        <f t="shared" si="4"/>
        <v>625439702</v>
      </c>
      <c r="M22" s="601">
        <f t="shared" si="4"/>
        <v>609577812</v>
      </c>
      <c r="N22" s="597">
        <f t="shared" si="0"/>
        <v>6041327955</v>
      </c>
      <c r="O22" s="598">
        <f>+N22-'52'!Y22</f>
        <v>0</v>
      </c>
      <c r="P22" s="598"/>
    </row>
    <row r="23" spans="1:16" ht="24" customHeight="1" thickBot="1" x14ac:dyDescent="0.25">
      <c r="A23" s="603" t="s">
        <v>543</v>
      </c>
      <c r="B23" s="601">
        <f t="shared" ref="B23:M23" si="5">+B3+B6+B11+B8+B7+B12+B15+B22</f>
        <v>2524884045</v>
      </c>
      <c r="C23" s="601">
        <f t="shared" si="5"/>
        <v>2440687887</v>
      </c>
      <c r="D23" s="601">
        <f t="shared" si="5"/>
        <v>2302233434</v>
      </c>
      <c r="E23" s="601">
        <f t="shared" si="5"/>
        <v>2244772603</v>
      </c>
      <c r="F23" s="601">
        <f t="shared" si="5"/>
        <v>2171373463</v>
      </c>
      <c r="G23" s="601">
        <f t="shared" si="5"/>
        <v>2284951916</v>
      </c>
      <c r="H23" s="601">
        <f t="shared" si="5"/>
        <v>2503228683</v>
      </c>
      <c r="I23" s="601">
        <f t="shared" si="5"/>
        <v>2396479190</v>
      </c>
      <c r="J23" s="601">
        <f t="shared" si="5"/>
        <v>2374746128</v>
      </c>
      <c r="K23" s="601">
        <f t="shared" si="5"/>
        <v>2468470400</v>
      </c>
      <c r="L23" s="601">
        <f t="shared" si="5"/>
        <v>2455262562</v>
      </c>
      <c r="M23" s="601">
        <f t="shared" si="5"/>
        <v>2433830070</v>
      </c>
      <c r="N23" s="600">
        <f t="shared" si="0"/>
        <v>28600920381</v>
      </c>
      <c r="O23" s="598">
        <f>+N23-'52'!Y23</f>
        <v>0</v>
      </c>
      <c r="P23" s="598"/>
    </row>
    <row r="24" spans="1:16" ht="24" customHeight="1" thickBot="1" x14ac:dyDescent="0.25">
      <c r="A24" s="603" t="s">
        <v>563</v>
      </c>
      <c r="B24" s="604">
        <v>10450000</v>
      </c>
      <c r="C24" s="604">
        <v>12408000</v>
      </c>
      <c r="D24" s="604">
        <v>12452000</v>
      </c>
      <c r="E24" s="604">
        <v>12276000</v>
      </c>
      <c r="F24" s="604">
        <v>11396000</v>
      </c>
      <c r="G24" s="604">
        <v>11396000</v>
      </c>
      <c r="H24" s="604"/>
      <c r="I24" s="604"/>
      <c r="J24" s="604"/>
      <c r="K24" s="604"/>
      <c r="L24" s="604"/>
      <c r="M24" s="604"/>
      <c r="N24" s="597">
        <f t="shared" si="0"/>
        <v>70378000</v>
      </c>
      <c r="O24" s="598">
        <f>+N24-'52'!Y24</f>
        <v>0</v>
      </c>
      <c r="P24" s="598"/>
    </row>
    <row r="25" spans="1:16" ht="24" customHeight="1" thickBot="1" x14ac:dyDescent="0.25">
      <c r="A25" s="595" t="s">
        <v>204</v>
      </c>
      <c r="B25" s="604">
        <v>12210000</v>
      </c>
      <c r="C25" s="604">
        <v>11577500</v>
      </c>
      <c r="D25" s="604">
        <v>10587500</v>
      </c>
      <c r="E25" s="604">
        <v>9047500</v>
      </c>
      <c r="F25" s="604">
        <v>9295000</v>
      </c>
      <c r="G25" s="604">
        <v>8800000</v>
      </c>
      <c r="H25" s="604"/>
      <c r="I25" s="604"/>
      <c r="J25" s="604"/>
      <c r="K25" s="604"/>
      <c r="L25" s="604"/>
      <c r="M25" s="604"/>
      <c r="N25" s="597">
        <f t="shared" si="0"/>
        <v>61517500</v>
      </c>
      <c r="O25" s="598">
        <f>+N25-'52'!Y25</f>
        <v>0</v>
      </c>
      <c r="P25" s="598"/>
    </row>
    <row r="26" spans="1:16" ht="24" customHeight="1" thickBot="1" x14ac:dyDescent="0.25">
      <c r="A26" s="605" t="s">
        <v>33</v>
      </c>
      <c r="B26" s="606">
        <f t="shared" ref="B26:M26" si="6">+B23+B25+B24</f>
        <v>2547544045</v>
      </c>
      <c r="C26" s="607">
        <f t="shared" si="6"/>
        <v>2464673387</v>
      </c>
      <c r="D26" s="607">
        <f t="shared" si="6"/>
        <v>2325272934</v>
      </c>
      <c r="E26" s="607">
        <f t="shared" si="6"/>
        <v>2266096103</v>
      </c>
      <c r="F26" s="607">
        <f t="shared" si="6"/>
        <v>2192064463</v>
      </c>
      <c r="G26" s="607">
        <f t="shared" si="6"/>
        <v>2305147916</v>
      </c>
      <c r="H26" s="608">
        <f t="shared" si="6"/>
        <v>2503228683</v>
      </c>
      <c r="I26" s="607">
        <f t="shared" si="6"/>
        <v>2396479190</v>
      </c>
      <c r="J26" s="607">
        <f t="shared" si="6"/>
        <v>2374746128</v>
      </c>
      <c r="K26" s="607">
        <f t="shared" si="6"/>
        <v>2468470400</v>
      </c>
      <c r="L26" s="608">
        <f t="shared" si="6"/>
        <v>2455262562</v>
      </c>
      <c r="M26" s="609">
        <f t="shared" si="6"/>
        <v>2433830070</v>
      </c>
      <c r="N26" s="610">
        <f t="shared" si="0"/>
        <v>28732815881</v>
      </c>
      <c r="O26" s="598">
        <f>+N26-'52'!Y26</f>
        <v>0</v>
      </c>
      <c r="P26" s="598"/>
    </row>
    <row r="27" spans="1:16" ht="9.75" customHeight="1" x14ac:dyDescent="0.2">
      <c r="B27" s="598"/>
      <c r="C27" s="598"/>
      <c r="D27" s="598"/>
      <c r="E27" s="598"/>
      <c r="F27" s="598"/>
      <c r="G27" s="598"/>
      <c r="H27" s="598"/>
      <c r="I27" s="598"/>
      <c r="J27" s="598"/>
      <c r="K27" s="598"/>
      <c r="L27" s="598"/>
      <c r="M27" s="598"/>
      <c r="N27" s="611"/>
      <c r="P27" s="598"/>
    </row>
    <row r="28" spans="1:16" x14ac:dyDescent="0.2">
      <c r="A28" s="612" t="s">
        <v>544</v>
      </c>
      <c r="B28" s="613"/>
      <c r="C28" s="613"/>
      <c r="D28" s="613"/>
      <c r="E28" s="613"/>
      <c r="F28" s="613"/>
      <c r="G28" s="613"/>
      <c r="H28" s="613"/>
      <c r="I28" s="613"/>
      <c r="J28" s="613"/>
      <c r="K28" s="613"/>
      <c r="L28" s="613"/>
      <c r="M28" s="613"/>
      <c r="N28" s="613"/>
    </row>
    <row r="29" spans="1:16" ht="27" x14ac:dyDescent="0.2">
      <c r="B29" s="614"/>
      <c r="C29" s="614"/>
      <c r="D29" s="614"/>
      <c r="E29" s="614"/>
      <c r="F29" s="614"/>
      <c r="G29" s="614"/>
      <c r="H29" s="614"/>
      <c r="I29" s="614"/>
      <c r="J29" s="614"/>
      <c r="K29" s="614"/>
      <c r="L29" s="614"/>
      <c r="M29" s="614"/>
      <c r="N29" s="615"/>
    </row>
    <row r="30" spans="1:16" ht="21" x14ac:dyDescent="0.2">
      <c r="B30" s="614"/>
      <c r="C30" s="614"/>
      <c r="D30" s="614"/>
      <c r="E30" s="614"/>
      <c r="F30" s="614"/>
      <c r="G30" s="614"/>
      <c r="H30" s="614"/>
      <c r="I30" s="614"/>
      <c r="J30" s="614"/>
      <c r="K30" s="614"/>
      <c r="L30" s="614"/>
      <c r="M30" s="614"/>
      <c r="N30" s="616"/>
      <c r="O30" s="598"/>
    </row>
    <row r="31" spans="1:16" ht="21" x14ac:dyDescent="0.2">
      <c r="B31" s="616"/>
      <c r="C31" s="616"/>
      <c r="D31" s="616"/>
      <c r="E31" s="616"/>
      <c r="F31" s="616"/>
      <c r="G31" s="616"/>
      <c r="H31" s="616"/>
      <c r="I31" s="616"/>
      <c r="J31" s="616"/>
      <c r="K31" s="616"/>
      <c r="L31" s="616"/>
      <c r="M31" s="616"/>
      <c r="N31" s="598"/>
    </row>
    <row r="32" spans="1:16" x14ac:dyDescent="0.2">
      <c r="B32" s="598"/>
      <c r="C32" s="598"/>
      <c r="D32" s="598"/>
      <c r="E32" s="598"/>
      <c r="F32" s="598"/>
      <c r="G32" s="598"/>
      <c r="H32" s="598"/>
      <c r="I32" s="598"/>
      <c r="J32" s="598"/>
      <c r="K32" s="598"/>
      <c r="L32" s="598"/>
      <c r="M32" s="598"/>
      <c r="N32" s="598"/>
      <c r="O32" s="598"/>
    </row>
    <row r="33" spans="8:13" x14ac:dyDescent="0.2">
      <c r="H33" s="598"/>
      <c r="I33" s="598"/>
      <c r="J33" s="598"/>
      <c r="K33" s="598"/>
      <c r="L33" s="598"/>
      <c r="M33" s="598"/>
    </row>
    <row r="37" spans="8:13" x14ac:dyDescent="0.2">
      <c r="M37" s="598"/>
    </row>
  </sheetData>
  <mergeCells count="1">
    <mergeCell ref="A1:N1"/>
  </mergeCells>
  <printOptions horizontalCentered="1" verticalCentered="1"/>
  <pageMargins left="0.19685039370078741" right="0.15748031496062992" top="0.98425196850393704" bottom="0.98425196850393704" header="0.51181102362204722" footer="0.51181102362204722"/>
  <pageSetup paperSize="9" firstPageNumber="5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AU38"/>
  <sheetViews>
    <sheetView rightToLeft="1" zoomScale="57" zoomScaleNormal="57" workbookViewId="0">
      <selection activeCell="B3" sqref="B3:Y26"/>
    </sheetView>
  </sheetViews>
  <sheetFormatPr defaultColWidth="13.375" defaultRowHeight="15.75" x14ac:dyDescent="0.4"/>
  <cols>
    <col min="1" max="1" width="16.125" style="90" bestFit="1" customWidth="1"/>
    <col min="2" max="2" width="14.625" style="90" bestFit="1" customWidth="1"/>
    <col min="3" max="3" width="15.125" style="90" customWidth="1"/>
    <col min="4" max="4" width="14.625" style="90" bestFit="1" customWidth="1"/>
    <col min="5" max="5" width="12.875" style="90" bestFit="1" customWidth="1"/>
    <col min="6" max="6" width="14.625" style="90" bestFit="1" customWidth="1"/>
    <col min="7" max="7" width="11.5" style="90" bestFit="1" customWidth="1"/>
    <col min="8" max="8" width="14.625" style="90" bestFit="1" customWidth="1"/>
    <col min="9" max="9" width="11.5" style="90" bestFit="1" customWidth="1"/>
    <col min="10" max="10" width="14.625" style="90" bestFit="1" customWidth="1"/>
    <col min="11" max="18" width="12.875" style="90" bestFit="1" customWidth="1"/>
    <col min="19" max="19" width="11.5" style="90" bestFit="1" customWidth="1"/>
    <col min="20" max="20" width="14.625" style="90" bestFit="1" customWidth="1"/>
    <col min="21" max="21" width="12.875" style="90" bestFit="1" customWidth="1"/>
    <col min="22" max="22" width="14.625" style="90" bestFit="1" customWidth="1"/>
    <col min="23" max="24" width="11.5" style="90" bestFit="1" customWidth="1"/>
    <col min="25" max="25" width="15.125" style="90" bestFit="1" customWidth="1"/>
    <col min="26" max="16384" width="13.375" style="90"/>
  </cols>
  <sheetData>
    <row r="1" spans="1:47" ht="39" customHeight="1" thickBot="1" x14ac:dyDescent="0.45">
      <c r="A1" s="2822" t="s">
        <v>564</v>
      </c>
      <c r="B1" s="2822"/>
      <c r="C1" s="2822"/>
      <c r="D1" s="2822"/>
      <c r="E1" s="2822"/>
      <c r="F1" s="2822"/>
      <c r="G1" s="2822"/>
      <c r="H1" s="2822"/>
      <c r="I1" s="2822"/>
      <c r="J1" s="2822"/>
      <c r="K1" s="2822"/>
      <c r="L1" s="2822"/>
      <c r="M1" s="2822"/>
      <c r="N1" s="2822"/>
      <c r="O1" s="2822"/>
      <c r="P1" s="2822"/>
      <c r="Q1" s="2822"/>
      <c r="R1" s="2822"/>
      <c r="S1" s="2822"/>
      <c r="T1" s="2822"/>
      <c r="U1" s="2822"/>
      <c r="V1" s="2822"/>
      <c r="W1" s="2822"/>
      <c r="X1" s="2822"/>
      <c r="Y1" s="2822"/>
    </row>
    <row r="2" spans="1:47" ht="78.75" customHeight="1" thickBot="1" x14ac:dyDescent="0.45">
      <c r="A2" s="470" t="s">
        <v>118</v>
      </c>
      <c r="B2" s="617" t="s">
        <v>201</v>
      </c>
      <c r="C2" s="492" t="s">
        <v>198</v>
      </c>
      <c r="D2" s="492" t="s">
        <v>97</v>
      </c>
      <c r="E2" s="492" t="s">
        <v>102</v>
      </c>
      <c r="F2" s="492" t="s">
        <v>107</v>
      </c>
      <c r="G2" s="492" t="s">
        <v>106</v>
      </c>
      <c r="H2" s="618" t="s">
        <v>99</v>
      </c>
      <c r="I2" s="618" t="s">
        <v>111</v>
      </c>
      <c r="J2" s="618" t="s">
        <v>96</v>
      </c>
      <c r="K2" s="619" t="s">
        <v>199</v>
      </c>
      <c r="L2" s="492" t="s">
        <v>113</v>
      </c>
      <c r="M2" s="620" t="s">
        <v>200</v>
      </c>
      <c r="N2" s="492" t="s">
        <v>114</v>
      </c>
      <c r="O2" s="492" t="s">
        <v>110</v>
      </c>
      <c r="P2" s="492" t="s">
        <v>109</v>
      </c>
      <c r="Q2" s="492" t="s">
        <v>104</v>
      </c>
      <c r="R2" s="492" t="s">
        <v>108</v>
      </c>
      <c r="S2" s="492" t="s">
        <v>112</v>
      </c>
      <c r="T2" s="492" t="s">
        <v>101</v>
      </c>
      <c r="U2" s="492" t="s">
        <v>105</v>
      </c>
      <c r="V2" s="492" t="s">
        <v>202</v>
      </c>
      <c r="W2" s="492" t="s">
        <v>565</v>
      </c>
      <c r="X2" s="621" t="s">
        <v>204</v>
      </c>
      <c r="Y2" s="470" t="s">
        <v>170</v>
      </c>
    </row>
    <row r="3" spans="1:47" ht="33" customHeight="1" thickBot="1" x14ac:dyDescent="0.75">
      <c r="A3" s="622" t="s">
        <v>526</v>
      </c>
      <c r="B3" s="1740">
        <v>109833306</v>
      </c>
      <c r="C3" s="1740">
        <v>721373388</v>
      </c>
      <c r="D3" s="1740">
        <v>712225431</v>
      </c>
      <c r="E3" s="1740">
        <v>708023619</v>
      </c>
      <c r="F3" s="1740">
        <v>249369088</v>
      </c>
      <c r="G3" s="1740">
        <v>0</v>
      </c>
      <c r="H3" s="1740">
        <v>89136278</v>
      </c>
      <c r="I3" s="1740">
        <v>322800</v>
      </c>
      <c r="J3" s="1740">
        <v>0</v>
      </c>
      <c r="K3" s="1740">
        <v>7296156</v>
      </c>
      <c r="L3" s="1740">
        <v>0</v>
      </c>
      <c r="M3" s="1740">
        <v>83494</v>
      </c>
      <c r="N3" s="1740">
        <v>17100</v>
      </c>
      <c r="O3" s="1740">
        <v>0</v>
      </c>
      <c r="P3" s="1740">
        <v>0</v>
      </c>
      <c r="Q3" s="1740">
        <v>322350</v>
      </c>
      <c r="R3" s="1740">
        <v>218610</v>
      </c>
      <c r="S3" s="1740">
        <v>602250</v>
      </c>
      <c r="T3" s="1740">
        <v>1345847678</v>
      </c>
      <c r="U3" s="1740">
        <v>0</v>
      </c>
      <c r="V3" s="1740">
        <v>38055</v>
      </c>
      <c r="W3" s="1741">
        <v>0</v>
      </c>
      <c r="X3" s="1741">
        <v>0</v>
      </c>
      <c r="Y3" s="1742">
        <f>SUM(B3:X3)</f>
        <v>3944709603</v>
      </c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</row>
    <row r="4" spans="1:47" ht="33" customHeight="1" x14ac:dyDescent="0.7">
      <c r="A4" s="623" t="s">
        <v>527</v>
      </c>
      <c r="B4" s="1740">
        <v>131232</v>
      </c>
      <c r="C4" s="1740">
        <v>0</v>
      </c>
      <c r="D4" s="1740">
        <v>0</v>
      </c>
      <c r="E4" s="1740">
        <v>0</v>
      </c>
      <c r="F4" s="1740">
        <v>79994868</v>
      </c>
      <c r="G4" s="1740">
        <v>0</v>
      </c>
      <c r="H4" s="1740">
        <v>16309732</v>
      </c>
      <c r="I4" s="1740">
        <v>51610</v>
      </c>
      <c r="J4" s="1740">
        <v>282596284</v>
      </c>
      <c r="K4" s="1740">
        <v>80196320</v>
      </c>
      <c r="L4" s="1740">
        <v>651750</v>
      </c>
      <c r="M4" s="1740">
        <v>120807792</v>
      </c>
      <c r="N4" s="1740">
        <v>53700</v>
      </c>
      <c r="O4" s="1740">
        <v>0</v>
      </c>
      <c r="P4" s="1740">
        <v>0</v>
      </c>
      <c r="Q4" s="1740">
        <v>0</v>
      </c>
      <c r="R4" s="1740">
        <v>0</v>
      </c>
      <c r="S4" s="1740">
        <v>0</v>
      </c>
      <c r="T4" s="1740">
        <v>98430</v>
      </c>
      <c r="U4" s="1740">
        <v>100638062</v>
      </c>
      <c r="V4" s="1740">
        <v>0</v>
      </c>
      <c r="W4" s="1741">
        <v>0</v>
      </c>
      <c r="X4" s="1741">
        <v>0</v>
      </c>
      <c r="Y4" s="1743">
        <f t="shared" ref="Y4:Y18" si="0">SUM(B4:X4)</f>
        <v>681529780</v>
      </c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</row>
    <row r="5" spans="1:47" ht="33" customHeight="1" thickBot="1" x14ac:dyDescent="0.75">
      <c r="A5" s="623" t="s">
        <v>528</v>
      </c>
      <c r="B5" s="1740">
        <v>103615670</v>
      </c>
      <c r="C5" s="1740">
        <v>0</v>
      </c>
      <c r="D5" s="1740">
        <v>78677652</v>
      </c>
      <c r="E5" s="1740">
        <v>0</v>
      </c>
      <c r="F5" s="1740">
        <v>0</v>
      </c>
      <c r="G5" s="1740">
        <v>0</v>
      </c>
      <c r="H5" s="1740">
        <v>7374291</v>
      </c>
      <c r="I5" s="1740">
        <v>9085</v>
      </c>
      <c r="J5" s="1740">
        <v>6854023187</v>
      </c>
      <c r="K5" s="1740">
        <v>0</v>
      </c>
      <c r="L5" s="1740">
        <v>328050</v>
      </c>
      <c r="M5" s="1740">
        <v>0</v>
      </c>
      <c r="N5" s="1740">
        <v>8209200</v>
      </c>
      <c r="O5" s="1740">
        <v>124722766</v>
      </c>
      <c r="P5" s="1740">
        <v>0</v>
      </c>
      <c r="Q5" s="1740">
        <v>78011334</v>
      </c>
      <c r="R5" s="1740">
        <v>38203</v>
      </c>
      <c r="S5" s="1740">
        <v>0</v>
      </c>
      <c r="T5" s="1740">
        <v>1350242824</v>
      </c>
      <c r="U5" s="1740">
        <v>205928954</v>
      </c>
      <c r="V5" s="1740">
        <v>4673494978</v>
      </c>
      <c r="W5" s="1741">
        <v>0</v>
      </c>
      <c r="X5" s="1741">
        <v>0</v>
      </c>
      <c r="Y5" s="1743">
        <f t="shared" si="0"/>
        <v>13484676194</v>
      </c>
      <c r="AA5" s="96"/>
      <c r="AC5" s="96"/>
    </row>
    <row r="6" spans="1:47" ht="30.75" customHeight="1" thickBot="1" x14ac:dyDescent="0.45">
      <c r="A6" s="622" t="s">
        <v>529</v>
      </c>
      <c r="B6" s="1741">
        <f>SUM(B4:B5)</f>
        <v>103746902</v>
      </c>
      <c r="C6" s="1741">
        <f>SUM(C4:C5)</f>
        <v>0</v>
      </c>
      <c r="D6" s="1741">
        <f>SUM(D4:D5)</f>
        <v>78677652</v>
      </c>
      <c r="E6" s="1741">
        <f t="shared" ref="E6:X6" si="1">SUM(E4:E5)</f>
        <v>0</v>
      </c>
      <c r="F6" s="1741">
        <f t="shared" si="1"/>
        <v>79994868</v>
      </c>
      <c r="G6" s="1741">
        <f t="shared" si="1"/>
        <v>0</v>
      </c>
      <c r="H6" s="1741">
        <f t="shared" si="1"/>
        <v>23684023</v>
      </c>
      <c r="I6" s="1741">
        <f t="shared" si="1"/>
        <v>60695</v>
      </c>
      <c r="J6" s="1741">
        <f t="shared" si="1"/>
        <v>7136619471</v>
      </c>
      <c r="K6" s="1741">
        <f t="shared" si="1"/>
        <v>80196320</v>
      </c>
      <c r="L6" s="1741">
        <f t="shared" si="1"/>
        <v>979800</v>
      </c>
      <c r="M6" s="1741">
        <f t="shared" si="1"/>
        <v>120807792</v>
      </c>
      <c r="N6" s="1741">
        <f t="shared" si="1"/>
        <v>8262900</v>
      </c>
      <c r="O6" s="1741">
        <f t="shared" si="1"/>
        <v>124722766</v>
      </c>
      <c r="P6" s="1741">
        <f t="shared" si="1"/>
        <v>0</v>
      </c>
      <c r="Q6" s="1741">
        <f t="shared" si="1"/>
        <v>78011334</v>
      </c>
      <c r="R6" s="1741">
        <f t="shared" si="1"/>
        <v>38203</v>
      </c>
      <c r="S6" s="1741">
        <f t="shared" si="1"/>
        <v>0</v>
      </c>
      <c r="T6" s="1741">
        <f t="shared" si="1"/>
        <v>1350341254</v>
      </c>
      <c r="U6" s="1741">
        <f t="shared" si="1"/>
        <v>306567016</v>
      </c>
      <c r="V6" s="1741">
        <f t="shared" si="1"/>
        <v>4673494978</v>
      </c>
      <c r="W6" s="1741">
        <f t="shared" si="1"/>
        <v>0</v>
      </c>
      <c r="X6" s="1741">
        <f t="shared" si="1"/>
        <v>0</v>
      </c>
      <c r="Y6" s="1744">
        <f t="shared" si="0"/>
        <v>14166205974</v>
      </c>
      <c r="AA6" s="96"/>
      <c r="AC6" s="96"/>
    </row>
    <row r="7" spans="1:47" ht="31.5" customHeight="1" thickBot="1" x14ac:dyDescent="0.75">
      <c r="A7" s="622" t="s">
        <v>530</v>
      </c>
      <c r="B7" s="1740">
        <v>1049926</v>
      </c>
      <c r="C7" s="1740">
        <v>69572</v>
      </c>
      <c r="D7" s="1740">
        <v>11808914</v>
      </c>
      <c r="E7" s="1740">
        <v>1511000</v>
      </c>
      <c r="F7" s="1740">
        <v>0</v>
      </c>
      <c r="G7" s="1740">
        <v>0</v>
      </c>
      <c r="H7" s="1740">
        <v>28838718</v>
      </c>
      <c r="I7" s="1740">
        <v>6938143</v>
      </c>
      <c r="J7" s="1740">
        <v>84609900</v>
      </c>
      <c r="K7" s="1740">
        <v>0</v>
      </c>
      <c r="L7" s="1740">
        <v>166800</v>
      </c>
      <c r="M7" s="1740">
        <v>45783562</v>
      </c>
      <c r="N7" s="1740">
        <v>13432650</v>
      </c>
      <c r="O7" s="1740">
        <v>0</v>
      </c>
      <c r="P7" s="1740">
        <v>10189621</v>
      </c>
      <c r="Q7" s="1740">
        <v>0</v>
      </c>
      <c r="R7" s="1740">
        <v>0</v>
      </c>
      <c r="S7" s="1740">
        <v>59571119</v>
      </c>
      <c r="T7" s="1740">
        <v>0</v>
      </c>
      <c r="U7" s="1740">
        <v>0</v>
      </c>
      <c r="V7" s="1740">
        <v>613855</v>
      </c>
      <c r="W7" s="1741">
        <v>0</v>
      </c>
      <c r="X7" s="1741">
        <v>0</v>
      </c>
      <c r="Y7" s="1744">
        <f t="shared" si="0"/>
        <v>264583780</v>
      </c>
      <c r="AA7" s="96"/>
      <c r="AC7" s="96"/>
    </row>
    <row r="8" spans="1:47" ht="32.25" customHeight="1" thickBot="1" x14ac:dyDescent="0.75">
      <c r="A8" s="622" t="s">
        <v>531</v>
      </c>
      <c r="B8" s="1740">
        <v>25940802</v>
      </c>
      <c r="C8" s="1740">
        <v>26703238</v>
      </c>
      <c r="D8" s="1740">
        <v>25399442</v>
      </c>
      <c r="E8" s="1740">
        <v>2421136</v>
      </c>
      <c r="F8" s="1740">
        <v>468750</v>
      </c>
      <c r="G8" s="1740">
        <v>7426555</v>
      </c>
      <c r="H8" s="1740">
        <v>7261543</v>
      </c>
      <c r="I8" s="1740">
        <v>118800</v>
      </c>
      <c r="J8" s="1740">
        <v>2472732</v>
      </c>
      <c r="K8" s="1740">
        <v>176619</v>
      </c>
      <c r="L8" s="1740">
        <v>12754854</v>
      </c>
      <c r="M8" s="1740">
        <v>12991808</v>
      </c>
      <c r="N8" s="1740">
        <v>0</v>
      </c>
      <c r="O8" s="1740">
        <v>379440</v>
      </c>
      <c r="P8" s="1740">
        <v>8160150</v>
      </c>
      <c r="Q8" s="1740">
        <v>2153990</v>
      </c>
      <c r="R8" s="1740">
        <v>38046068</v>
      </c>
      <c r="S8" s="1740">
        <v>162176</v>
      </c>
      <c r="T8" s="1740">
        <v>47051</v>
      </c>
      <c r="U8" s="1740">
        <v>13160254</v>
      </c>
      <c r="V8" s="1740">
        <v>25003958</v>
      </c>
      <c r="W8" s="1741">
        <v>0</v>
      </c>
      <c r="X8" s="1741">
        <v>0</v>
      </c>
      <c r="Y8" s="1744">
        <f t="shared" si="0"/>
        <v>211249366</v>
      </c>
      <c r="AA8" s="96"/>
      <c r="AC8" s="96"/>
    </row>
    <row r="9" spans="1:47" ht="33.75" customHeight="1" x14ac:dyDescent="0.7">
      <c r="A9" s="623" t="s">
        <v>532</v>
      </c>
      <c r="B9" s="1740">
        <v>466858</v>
      </c>
      <c r="C9" s="1740">
        <v>364849894</v>
      </c>
      <c r="D9" s="1740">
        <v>0</v>
      </c>
      <c r="E9" s="1740">
        <v>2956376</v>
      </c>
      <c r="F9" s="1740">
        <v>456256007</v>
      </c>
      <c r="G9" s="1740">
        <v>0</v>
      </c>
      <c r="H9" s="1740">
        <v>96150</v>
      </c>
      <c r="I9" s="1740">
        <v>74101550</v>
      </c>
      <c r="J9" s="1740">
        <v>0</v>
      </c>
      <c r="K9" s="1740">
        <v>10179117</v>
      </c>
      <c r="L9" s="1740">
        <v>7280557</v>
      </c>
      <c r="M9" s="1740">
        <v>459367</v>
      </c>
      <c r="N9" s="1740">
        <v>159145417</v>
      </c>
      <c r="O9" s="1740">
        <v>73265229</v>
      </c>
      <c r="P9" s="1740">
        <v>268473745</v>
      </c>
      <c r="Q9" s="1740">
        <v>0</v>
      </c>
      <c r="R9" s="1740">
        <v>71007</v>
      </c>
      <c r="S9" s="1740">
        <v>417313</v>
      </c>
      <c r="T9" s="1740">
        <v>68496838</v>
      </c>
      <c r="U9" s="1740">
        <v>359764</v>
      </c>
      <c r="V9" s="1740">
        <v>207396</v>
      </c>
      <c r="W9" s="1741">
        <v>0</v>
      </c>
      <c r="X9" s="1741">
        <v>0</v>
      </c>
      <c r="Y9" s="1743">
        <f t="shared" si="0"/>
        <v>1487082585</v>
      </c>
      <c r="AA9" s="96"/>
      <c r="AC9" s="96"/>
    </row>
    <row r="10" spans="1:47" ht="34.5" customHeight="1" thickBot="1" x14ac:dyDescent="0.75">
      <c r="A10" s="623" t="s">
        <v>533</v>
      </c>
      <c r="B10" s="1740">
        <v>27538725</v>
      </c>
      <c r="C10" s="1740">
        <v>2744495</v>
      </c>
      <c r="D10" s="1740">
        <v>0</v>
      </c>
      <c r="E10" s="1740">
        <v>2436896</v>
      </c>
      <c r="F10" s="1740">
        <v>14092579</v>
      </c>
      <c r="G10" s="1740">
        <v>0</v>
      </c>
      <c r="H10" s="1740">
        <v>12064934</v>
      </c>
      <c r="I10" s="1740">
        <v>0</v>
      </c>
      <c r="J10" s="1740">
        <v>0</v>
      </c>
      <c r="K10" s="1740">
        <v>0</v>
      </c>
      <c r="L10" s="1740">
        <v>35821452</v>
      </c>
      <c r="M10" s="1740">
        <v>3804994</v>
      </c>
      <c r="N10" s="1740">
        <v>8069100</v>
      </c>
      <c r="O10" s="1740">
        <v>4501965</v>
      </c>
      <c r="P10" s="1740">
        <v>0</v>
      </c>
      <c r="Q10" s="1740">
        <v>15480215</v>
      </c>
      <c r="R10" s="1740">
        <v>149852</v>
      </c>
      <c r="S10" s="1740">
        <v>0</v>
      </c>
      <c r="T10" s="1740">
        <v>1985837</v>
      </c>
      <c r="U10" s="1740">
        <v>0</v>
      </c>
      <c r="V10" s="1740">
        <v>279820</v>
      </c>
      <c r="W10" s="1741">
        <v>0</v>
      </c>
      <c r="X10" s="1741">
        <v>0</v>
      </c>
      <c r="Y10" s="1745">
        <f t="shared" si="0"/>
        <v>128970864</v>
      </c>
      <c r="AA10" s="96"/>
      <c r="AC10" s="96"/>
    </row>
    <row r="11" spans="1:47" ht="29.25" customHeight="1" thickBot="1" x14ac:dyDescent="0.45">
      <c r="A11" s="622" t="s">
        <v>170</v>
      </c>
      <c r="B11" s="1741">
        <f>SUM(B9:B10)</f>
        <v>28005583</v>
      </c>
      <c r="C11" s="1741">
        <f>SUM(C9:C10)</f>
        <v>367594389</v>
      </c>
      <c r="D11" s="1741">
        <f t="shared" ref="D11:X11" si="2">SUM(D9:D10)</f>
        <v>0</v>
      </c>
      <c r="E11" s="1741">
        <f t="shared" si="2"/>
        <v>5393272</v>
      </c>
      <c r="F11" s="1741">
        <f t="shared" si="2"/>
        <v>470348586</v>
      </c>
      <c r="G11" s="1741">
        <f t="shared" si="2"/>
        <v>0</v>
      </c>
      <c r="H11" s="1741">
        <f t="shared" si="2"/>
        <v>12161084</v>
      </c>
      <c r="I11" s="1741">
        <f t="shared" si="2"/>
        <v>74101550</v>
      </c>
      <c r="J11" s="1741">
        <f t="shared" si="2"/>
        <v>0</v>
      </c>
      <c r="K11" s="1741">
        <f t="shared" si="2"/>
        <v>10179117</v>
      </c>
      <c r="L11" s="1741">
        <f t="shared" si="2"/>
        <v>43102009</v>
      </c>
      <c r="M11" s="1741">
        <f t="shared" si="2"/>
        <v>4264361</v>
      </c>
      <c r="N11" s="1741">
        <f t="shared" si="2"/>
        <v>167214517</v>
      </c>
      <c r="O11" s="1741">
        <f t="shared" si="2"/>
        <v>77767194</v>
      </c>
      <c r="P11" s="1741">
        <f t="shared" si="2"/>
        <v>268473745</v>
      </c>
      <c r="Q11" s="1741">
        <f t="shared" si="2"/>
        <v>15480215</v>
      </c>
      <c r="R11" s="1741">
        <f t="shared" si="2"/>
        <v>220859</v>
      </c>
      <c r="S11" s="1741">
        <f t="shared" si="2"/>
        <v>417313</v>
      </c>
      <c r="T11" s="1741">
        <f t="shared" si="2"/>
        <v>70482675</v>
      </c>
      <c r="U11" s="1741">
        <f t="shared" si="2"/>
        <v>359764</v>
      </c>
      <c r="V11" s="1741">
        <f t="shared" si="2"/>
        <v>487216</v>
      </c>
      <c r="W11" s="1741">
        <f t="shared" si="2"/>
        <v>0</v>
      </c>
      <c r="X11" s="1741">
        <f t="shared" si="2"/>
        <v>0</v>
      </c>
      <c r="Y11" s="1742">
        <f t="shared" si="0"/>
        <v>1616053449</v>
      </c>
      <c r="AA11" s="96"/>
      <c r="AC11" s="96"/>
    </row>
    <row r="12" spans="1:47" ht="31.5" customHeight="1" thickBot="1" x14ac:dyDescent="0.75">
      <c r="A12" s="622" t="s">
        <v>534</v>
      </c>
      <c r="B12" s="1740">
        <v>15744935</v>
      </c>
      <c r="C12" s="1740">
        <v>44659</v>
      </c>
      <c r="D12" s="1740">
        <v>0</v>
      </c>
      <c r="E12" s="1740">
        <v>12065</v>
      </c>
      <c r="F12" s="1740">
        <v>601406622</v>
      </c>
      <c r="G12" s="1740">
        <v>854678</v>
      </c>
      <c r="H12" s="1740">
        <v>6158270</v>
      </c>
      <c r="I12" s="1740">
        <v>0</v>
      </c>
      <c r="J12" s="1740">
        <v>8100</v>
      </c>
      <c r="K12" s="1740">
        <v>975802</v>
      </c>
      <c r="L12" s="1740">
        <v>27645150</v>
      </c>
      <c r="M12" s="1740">
        <v>0</v>
      </c>
      <c r="N12" s="1740">
        <v>10953450</v>
      </c>
      <c r="O12" s="1740">
        <v>330732</v>
      </c>
      <c r="P12" s="1740">
        <v>0</v>
      </c>
      <c r="Q12" s="1740">
        <v>0</v>
      </c>
      <c r="R12" s="1740">
        <v>124132</v>
      </c>
      <c r="S12" s="1740">
        <v>0</v>
      </c>
      <c r="T12" s="1740">
        <v>3718673</v>
      </c>
      <c r="U12" s="1740">
        <v>0</v>
      </c>
      <c r="V12" s="1740">
        <v>0</v>
      </c>
      <c r="W12" s="1741">
        <v>0</v>
      </c>
      <c r="X12" s="1741">
        <v>0</v>
      </c>
      <c r="Y12" s="1744">
        <f t="shared" si="0"/>
        <v>667977268</v>
      </c>
      <c r="AA12" s="96"/>
      <c r="AC12" s="96"/>
    </row>
    <row r="13" spans="1:47" ht="29.25" customHeight="1" x14ac:dyDescent="0.7">
      <c r="A13" s="623" t="s">
        <v>535</v>
      </c>
      <c r="B13" s="1740">
        <v>37084495</v>
      </c>
      <c r="C13" s="1740">
        <v>31887</v>
      </c>
      <c r="D13" s="1740">
        <v>937069887</v>
      </c>
      <c r="E13" s="1740">
        <v>18784803</v>
      </c>
      <c r="F13" s="1740">
        <v>159989920</v>
      </c>
      <c r="G13" s="1740">
        <v>15150</v>
      </c>
      <c r="H13" s="1740">
        <v>92312634</v>
      </c>
      <c r="I13" s="1740">
        <v>130500</v>
      </c>
      <c r="J13" s="1740">
        <v>7800</v>
      </c>
      <c r="K13" s="1740">
        <v>29400</v>
      </c>
      <c r="L13" s="1740">
        <v>540548</v>
      </c>
      <c r="M13" s="1740">
        <v>21729</v>
      </c>
      <c r="N13" s="1740">
        <v>3661650</v>
      </c>
      <c r="O13" s="1740">
        <v>77001683</v>
      </c>
      <c r="P13" s="1740">
        <v>0</v>
      </c>
      <c r="Q13" s="1740">
        <v>17466205</v>
      </c>
      <c r="R13" s="1740">
        <v>2067729</v>
      </c>
      <c r="S13" s="1740">
        <v>192425</v>
      </c>
      <c r="T13" s="1740">
        <v>185994480</v>
      </c>
      <c r="U13" s="1740">
        <v>37863581</v>
      </c>
      <c r="V13" s="1740">
        <v>38761397</v>
      </c>
      <c r="W13" s="1741">
        <v>0</v>
      </c>
      <c r="X13" s="1741">
        <v>0</v>
      </c>
      <c r="Y13" s="1743">
        <f>SUM(B13:X13)</f>
        <v>1609027903</v>
      </c>
      <c r="AA13" s="96"/>
      <c r="AC13" s="96"/>
    </row>
    <row r="14" spans="1:47" ht="36.75" customHeight="1" thickBot="1" x14ac:dyDescent="0.75">
      <c r="A14" s="624" t="s">
        <v>536</v>
      </c>
      <c r="B14" s="1740">
        <v>453797</v>
      </c>
      <c r="C14" s="1740">
        <v>0</v>
      </c>
      <c r="D14" s="1740">
        <v>0</v>
      </c>
      <c r="E14" s="1740">
        <v>376658</v>
      </c>
      <c r="F14" s="1740">
        <v>72505905</v>
      </c>
      <c r="G14" s="1740">
        <v>0</v>
      </c>
      <c r="H14" s="1740">
        <v>14956</v>
      </c>
      <c r="I14" s="1740">
        <v>0</v>
      </c>
      <c r="J14" s="1740">
        <v>0</v>
      </c>
      <c r="K14" s="1740">
        <v>0</v>
      </c>
      <c r="L14" s="1740">
        <v>0</v>
      </c>
      <c r="M14" s="1740">
        <v>0</v>
      </c>
      <c r="N14" s="1740">
        <v>0</v>
      </c>
      <c r="O14" s="1740">
        <v>0</v>
      </c>
      <c r="P14" s="1740">
        <v>0</v>
      </c>
      <c r="Q14" s="1740">
        <v>0</v>
      </c>
      <c r="R14" s="1740">
        <v>0</v>
      </c>
      <c r="S14" s="1740">
        <v>0</v>
      </c>
      <c r="T14" s="1740">
        <v>6433767</v>
      </c>
      <c r="U14" s="1740">
        <v>0</v>
      </c>
      <c r="V14" s="1740">
        <v>0</v>
      </c>
      <c r="W14" s="1741">
        <v>0</v>
      </c>
      <c r="X14" s="1741">
        <v>0</v>
      </c>
      <c r="Y14" s="1743">
        <f>SUM(B14:X14)</f>
        <v>79785083</v>
      </c>
      <c r="Z14" s="96"/>
      <c r="AA14" s="96"/>
      <c r="AC14" s="96"/>
    </row>
    <row r="15" spans="1:47" ht="29.25" customHeight="1" thickBot="1" x14ac:dyDescent="0.45">
      <c r="A15" s="622" t="s">
        <v>170</v>
      </c>
      <c r="B15" s="1741">
        <f>SUM(B13:B14)</f>
        <v>37538292</v>
      </c>
      <c r="C15" s="1741">
        <f>SUM(C13:C14)</f>
        <v>31887</v>
      </c>
      <c r="D15" s="1741">
        <f>SUM(D13:D14)</f>
        <v>937069887</v>
      </c>
      <c r="E15" s="1741">
        <f t="shared" ref="E15:X15" si="3">SUM(E13:E14)</f>
        <v>19161461</v>
      </c>
      <c r="F15" s="1741">
        <f t="shared" si="3"/>
        <v>232495825</v>
      </c>
      <c r="G15" s="1741">
        <f t="shared" si="3"/>
        <v>15150</v>
      </c>
      <c r="H15" s="1741">
        <f t="shared" si="3"/>
        <v>92327590</v>
      </c>
      <c r="I15" s="1741">
        <f t="shared" si="3"/>
        <v>130500</v>
      </c>
      <c r="J15" s="1741">
        <f t="shared" si="3"/>
        <v>7800</v>
      </c>
      <c r="K15" s="1741">
        <f t="shared" si="3"/>
        <v>29400</v>
      </c>
      <c r="L15" s="1741">
        <f t="shared" si="3"/>
        <v>540548</v>
      </c>
      <c r="M15" s="1741">
        <f t="shared" si="3"/>
        <v>21729</v>
      </c>
      <c r="N15" s="1741">
        <f t="shared" si="3"/>
        <v>3661650</v>
      </c>
      <c r="O15" s="1741">
        <f t="shared" si="3"/>
        <v>77001683</v>
      </c>
      <c r="P15" s="1741">
        <f t="shared" si="3"/>
        <v>0</v>
      </c>
      <c r="Q15" s="1741">
        <f t="shared" si="3"/>
        <v>17466205</v>
      </c>
      <c r="R15" s="1741">
        <f t="shared" si="3"/>
        <v>2067729</v>
      </c>
      <c r="S15" s="1741">
        <f t="shared" si="3"/>
        <v>192425</v>
      </c>
      <c r="T15" s="1741">
        <f t="shared" si="3"/>
        <v>192428247</v>
      </c>
      <c r="U15" s="1741">
        <f t="shared" si="3"/>
        <v>37863581</v>
      </c>
      <c r="V15" s="1741">
        <f t="shared" si="3"/>
        <v>38761397</v>
      </c>
      <c r="W15" s="1741">
        <f t="shared" si="3"/>
        <v>0</v>
      </c>
      <c r="X15" s="1741">
        <f t="shared" si="3"/>
        <v>0</v>
      </c>
      <c r="Y15" s="1744">
        <f>SUM(B15:X15)</f>
        <v>1688812986</v>
      </c>
      <c r="Z15" s="96"/>
      <c r="AA15" s="96"/>
      <c r="AC15" s="96"/>
    </row>
    <row r="16" spans="1:47" ht="32.25" customHeight="1" x14ac:dyDescent="0.7">
      <c r="A16" s="623" t="s">
        <v>537</v>
      </c>
      <c r="B16" s="1740">
        <v>78014008</v>
      </c>
      <c r="C16" s="1740">
        <v>0</v>
      </c>
      <c r="D16" s="1740">
        <v>0</v>
      </c>
      <c r="E16" s="1740">
        <v>0</v>
      </c>
      <c r="F16" s="1740">
        <v>16379471</v>
      </c>
      <c r="G16" s="1740">
        <v>0</v>
      </c>
      <c r="H16" s="1740">
        <v>744787</v>
      </c>
      <c r="I16" s="1740">
        <v>0</v>
      </c>
      <c r="J16" s="1740">
        <v>0</v>
      </c>
      <c r="K16" s="1740">
        <v>186000</v>
      </c>
      <c r="L16" s="1740">
        <v>47800950</v>
      </c>
      <c r="M16" s="1740">
        <v>0</v>
      </c>
      <c r="N16" s="1740">
        <v>0</v>
      </c>
      <c r="O16" s="1740">
        <v>0</v>
      </c>
      <c r="P16" s="1740">
        <v>0</v>
      </c>
      <c r="Q16" s="1740">
        <v>0</v>
      </c>
      <c r="R16" s="1740">
        <v>0</v>
      </c>
      <c r="S16" s="1740">
        <v>0</v>
      </c>
      <c r="T16" s="1740">
        <v>0</v>
      </c>
      <c r="U16" s="1740">
        <v>0</v>
      </c>
      <c r="V16" s="1740">
        <v>0</v>
      </c>
      <c r="W16" s="1741">
        <v>0</v>
      </c>
      <c r="X16" s="1741">
        <v>0</v>
      </c>
      <c r="Y16" s="1743">
        <f t="shared" si="0"/>
        <v>143125216</v>
      </c>
      <c r="AA16" s="96"/>
      <c r="AC16" s="96"/>
    </row>
    <row r="17" spans="1:29" ht="32.25" customHeight="1" x14ac:dyDescent="0.7">
      <c r="A17" s="623" t="s">
        <v>538</v>
      </c>
      <c r="B17" s="1740">
        <v>7947723</v>
      </c>
      <c r="C17" s="1740">
        <v>0</v>
      </c>
      <c r="D17" s="1740">
        <v>2243551</v>
      </c>
      <c r="E17" s="1740">
        <v>24362233</v>
      </c>
      <c r="F17" s="1740">
        <v>0</v>
      </c>
      <c r="G17" s="1740">
        <v>0</v>
      </c>
      <c r="H17" s="1740">
        <v>14837288</v>
      </c>
      <c r="I17" s="1740">
        <v>0</v>
      </c>
      <c r="J17" s="1740">
        <v>0</v>
      </c>
      <c r="K17" s="1740">
        <v>0</v>
      </c>
      <c r="L17" s="1740">
        <v>11926</v>
      </c>
      <c r="M17" s="1740">
        <v>21078</v>
      </c>
      <c r="N17" s="1740">
        <v>0</v>
      </c>
      <c r="O17" s="1740">
        <v>10970</v>
      </c>
      <c r="P17" s="1740">
        <v>0</v>
      </c>
      <c r="Q17" s="1740">
        <v>2022373</v>
      </c>
      <c r="R17" s="1740">
        <v>0</v>
      </c>
      <c r="S17" s="1740">
        <v>0</v>
      </c>
      <c r="T17" s="1740">
        <v>0</v>
      </c>
      <c r="U17" s="1740">
        <v>11804980</v>
      </c>
      <c r="V17" s="1740">
        <v>0</v>
      </c>
      <c r="W17" s="1741">
        <v>0</v>
      </c>
      <c r="X17" s="1741">
        <v>0</v>
      </c>
      <c r="Y17" s="1743">
        <f t="shared" si="0"/>
        <v>63262122</v>
      </c>
      <c r="AA17" s="96"/>
      <c r="AC17" s="96"/>
    </row>
    <row r="18" spans="1:29" ht="32.25" customHeight="1" x14ac:dyDescent="0.7">
      <c r="A18" s="623" t="s">
        <v>539</v>
      </c>
      <c r="B18" s="1740">
        <v>0</v>
      </c>
      <c r="C18" s="1740">
        <v>0</v>
      </c>
      <c r="D18" s="1740">
        <v>0</v>
      </c>
      <c r="E18" s="1740">
        <v>0</v>
      </c>
      <c r="F18" s="1740">
        <v>0</v>
      </c>
      <c r="G18" s="1740">
        <v>0</v>
      </c>
      <c r="H18" s="1740">
        <v>0</v>
      </c>
      <c r="I18" s="1740">
        <v>990000</v>
      </c>
      <c r="J18" s="1740">
        <v>0</v>
      </c>
      <c r="K18" s="1740">
        <v>0</v>
      </c>
      <c r="L18" s="1740">
        <v>0</v>
      </c>
      <c r="M18" s="1740">
        <v>0</v>
      </c>
      <c r="N18" s="1740">
        <v>0</v>
      </c>
      <c r="O18" s="1740">
        <v>0</v>
      </c>
      <c r="P18" s="1740">
        <v>0</v>
      </c>
      <c r="Q18" s="1740">
        <v>0</v>
      </c>
      <c r="R18" s="1740">
        <v>0</v>
      </c>
      <c r="S18" s="1740">
        <v>1134034</v>
      </c>
      <c r="T18" s="1740">
        <v>0</v>
      </c>
      <c r="U18" s="1740">
        <v>0</v>
      </c>
      <c r="V18" s="1740">
        <v>0</v>
      </c>
      <c r="W18" s="1741">
        <v>0</v>
      </c>
      <c r="X18" s="1741">
        <v>0</v>
      </c>
      <c r="Y18" s="1743">
        <f t="shared" si="0"/>
        <v>2124034</v>
      </c>
      <c r="AA18" s="96"/>
      <c r="AC18" s="96"/>
    </row>
    <row r="19" spans="1:29" ht="32.25" customHeight="1" x14ac:dyDescent="0.7">
      <c r="A19" s="623" t="s">
        <v>540</v>
      </c>
      <c r="B19" s="1740">
        <v>27167938</v>
      </c>
      <c r="C19" s="1740">
        <v>4381535</v>
      </c>
      <c r="D19" s="1740">
        <v>0</v>
      </c>
      <c r="E19" s="1740">
        <v>0</v>
      </c>
      <c r="F19" s="1740">
        <v>0</v>
      </c>
      <c r="G19" s="1740">
        <v>3912300</v>
      </c>
      <c r="H19" s="1740">
        <v>2665246192</v>
      </c>
      <c r="I19" s="1740">
        <v>0</v>
      </c>
      <c r="J19" s="1740">
        <v>0</v>
      </c>
      <c r="K19" s="1740">
        <v>0</v>
      </c>
      <c r="L19" s="1740">
        <v>0</v>
      </c>
      <c r="M19" s="1740">
        <v>0</v>
      </c>
      <c r="N19" s="1740">
        <v>0</v>
      </c>
      <c r="O19" s="1740">
        <v>0</v>
      </c>
      <c r="P19" s="1740">
        <v>0</v>
      </c>
      <c r="Q19" s="1740">
        <v>0</v>
      </c>
      <c r="R19" s="1740">
        <v>0</v>
      </c>
      <c r="S19" s="1740">
        <v>0</v>
      </c>
      <c r="T19" s="1740">
        <v>0</v>
      </c>
      <c r="U19" s="1740">
        <v>0</v>
      </c>
      <c r="V19" s="1740">
        <v>0</v>
      </c>
      <c r="W19" s="1741">
        <v>0</v>
      </c>
      <c r="X19" s="1741">
        <v>0</v>
      </c>
      <c r="Y19" s="1743">
        <f>SUM(B19:X19)</f>
        <v>2700707965</v>
      </c>
      <c r="AA19" s="96"/>
      <c r="AC19" s="96"/>
    </row>
    <row r="20" spans="1:29" ht="32.25" customHeight="1" x14ac:dyDescent="0.7">
      <c r="A20" s="623" t="s">
        <v>541</v>
      </c>
      <c r="B20" s="1740">
        <v>767062963</v>
      </c>
      <c r="C20" s="1740">
        <v>228489032</v>
      </c>
      <c r="D20" s="1740">
        <v>12709750</v>
      </c>
      <c r="E20" s="1740">
        <v>51003842</v>
      </c>
      <c r="F20" s="1740">
        <v>89179097</v>
      </c>
      <c r="G20" s="1740">
        <v>0</v>
      </c>
      <c r="H20" s="1740">
        <v>22867634</v>
      </c>
      <c r="I20" s="1740">
        <v>0</v>
      </c>
      <c r="J20" s="1740">
        <v>155514</v>
      </c>
      <c r="K20" s="1740">
        <v>1379390</v>
      </c>
      <c r="L20" s="1740">
        <v>6547222</v>
      </c>
      <c r="M20" s="1740">
        <v>63785862</v>
      </c>
      <c r="N20" s="1740">
        <v>49375293</v>
      </c>
      <c r="O20" s="1740">
        <v>0</v>
      </c>
      <c r="P20" s="1740">
        <v>0</v>
      </c>
      <c r="Q20" s="1740">
        <v>253068</v>
      </c>
      <c r="R20" s="1740">
        <v>45854642</v>
      </c>
      <c r="S20" s="1740">
        <v>0</v>
      </c>
      <c r="T20" s="1740">
        <v>731207303</v>
      </c>
      <c r="U20" s="1740">
        <v>2361162</v>
      </c>
      <c r="V20" s="1740">
        <v>395133</v>
      </c>
      <c r="W20" s="1741">
        <v>0</v>
      </c>
      <c r="X20" s="1741">
        <v>0</v>
      </c>
      <c r="Y20" s="1743">
        <f>SUM(B20:X20)</f>
        <v>2072626907</v>
      </c>
      <c r="AA20" s="96"/>
      <c r="AC20" s="96"/>
    </row>
    <row r="21" spans="1:29" ht="32.25" customHeight="1" thickBot="1" x14ac:dyDescent="0.75">
      <c r="A21" s="623" t="s">
        <v>542</v>
      </c>
      <c r="B21" s="1740">
        <v>94190590</v>
      </c>
      <c r="C21" s="1740">
        <v>14582236</v>
      </c>
      <c r="D21" s="1740">
        <v>46402420</v>
      </c>
      <c r="E21" s="1740">
        <v>94927394</v>
      </c>
      <c r="F21" s="1740">
        <v>182485969</v>
      </c>
      <c r="G21" s="1740">
        <f>18985032-6</f>
        <v>18985026</v>
      </c>
      <c r="H21" s="1740">
        <v>222019603</v>
      </c>
      <c r="I21" s="1740">
        <v>16182601</v>
      </c>
      <c r="J21" s="1740">
        <v>62615384</v>
      </c>
      <c r="K21" s="1740">
        <v>6258320</v>
      </c>
      <c r="L21" s="1740">
        <v>38384593</v>
      </c>
      <c r="M21" s="1740">
        <v>25754579</v>
      </c>
      <c r="N21" s="1740">
        <v>26397619</v>
      </c>
      <c r="O21" s="1740">
        <v>5443253</v>
      </c>
      <c r="P21" s="1740">
        <v>4150398</v>
      </c>
      <c r="Q21" s="1740">
        <v>11465301</v>
      </c>
      <c r="R21" s="1740">
        <v>25941344</v>
      </c>
      <c r="S21" s="1740">
        <v>10603645</v>
      </c>
      <c r="T21" s="1740">
        <v>77467293</v>
      </c>
      <c r="U21" s="1740">
        <v>16136731</v>
      </c>
      <c r="V21" s="1740">
        <v>59087412</v>
      </c>
      <c r="W21" s="1741">
        <v>0</v>
      </c>
      <c r="X21" s="1741">
        <v>0</v>
      </c>
      <c r="Y21" s="1743">
        <f>SUM(B21:X21)</f>
        <v>1059481711</v>
      </c>
      <c r="AA21" s="96"/>
      <c r="AC21" s="96"/>
    </row>
    <row r="22" spans="1:29" ht="29.25" customHeight="1" thickBot="1" x14ac:dyDescent="0.45">
      <c r="A22" s="622" t="s">
        <v>170</v>
      </c>
      <c r="B22" s="1741">
        <f t="shared" ref="B22:X22" si="4">SUM(B16:B21)</f>
        <v>974383222</v>
      </c>
      <c r="C22" s="1741">
        <f t="shared" si="4"/>
        <v>247452803</v>
      </c>
      <c r="D22" s="1741">
        <f t="shared" si="4"/>
        <v>61355721</v>
      </c>
      <c r="E22" s="1741">
        <f t="shared" si="4"/>
        <v>170293469</v>
      </c>
      <c r="F22" s="1741">
        <f t="shared" si="4"/>
        <v>288044537</v>
      </c>
      <c r="G22" s="1741">
        <f t="shared" si="4"/>
        <v>22897326</v>
      </c>
      <c r="H22" s="1741">
        <f t="shared" si="4"/>
        <v>2925715504</v>
      </c>
      <c r="I22" s="1741">
        <f t="shared" si="4"/>
        <v>17172601</v>
      </c>
      <c r="J22" s="1741">
        <f t="shared" si="4"/>
        <v>62770898</v>
      </c>
      <c r="K22" s="1746">
        <f t="shared" si="4"/>
        <v>7823710</v>
      </c>
      <c r="L22" s="1747">
        <f t="shared" si="4"/>
        <v>92744691</v>
      </c>
      <c r="M22" s="1746">
        <f t="shared" si="4"/>
        <v>89561519</v>
      </c>
      <c r="N22" s="1741">
        <f t="shared" si="4"/>
        <v>75772912</v>
      </c>
      <c r="O22" s="1741">
        <f t="shared" si="4"/>
        <v>5454223</v>
      </c>
      <c r="P22" s="1741">
        <f t="shared" si="4"/>
        <v>4150398</v>
      </c>
      <c r="Q22" s="1741">
        <f t="shared" si="4"/>
        <v>13740742</v>
      </c>
      <c r="R22" s="1741">
        <f t="shared" si="4"/>
        <v>71795986</v>
      </c>
      <c r="S22" s="1741">
        <f t="shared" si="4"/>
        <v>11737679</v>
      </c>
      <c r="T22" s="1741">
        <f t="shared" si="4"/>
        <v>808674596</v>
      </c>
      <c r="U22" s="1741">
        <f t="shared" si="4"/>
        <v>30302873</v>
      </c>
      <c r="V22" s="1741">
        <f t="shared" si="4"/>
        <v>59482545</v>
      </c>
      <c r="W22" s="1741">
        <f t="shared" si="4"/>
        <v>0</v>
      </c>
      <c r="X22" s="1741">
        <f t="shared" si="4"/>
        <v>0</v>
      </c>
      <c r="Y22" s="1744">
        <f>SUM(B22:X22)</f>
        <v>6041327955</v>
      </c>
      <c r="AA22" s="96"/>
      <c r="AC22" s="96"/>
    </row>
    <row r="23" spans="1:29" ht="33" customHeight="1" thickBot="1" x14ac:dyDescent="0.45">
      <c r="A23" s="625" t="s">
        <v>543</v>
      </c>
      <c r="B23" s="1741">
        <f t="shared" ref="B23:V23" si="5">SUM(B7,B3,B6,B11,B12,B15,B22,B8)</f>
        <v>1296242968</v>
      </c>
      <c r="C23" s="1741">
        <f t="shared" si="5"/>
        <v>1363269936</v>
      </c>
      <c r="D23" s="1741">
        <f t="shared" si="5"/>
        <v>1826537047</v>
      </c>
      <c r="E23" s="1741">
        <f t="shared" si="5"/>
        <v>906816022</v>
      </c>
      <c r="F23" s="1741">
        <f t="shared" si="5"/>
        <v>1922128276</v>
      </c>
      <c r="G23" s="1741">
        <f t="shared" si="5"/>
        <v>31193709</v>
      </c>
      <c r="H23" s="1741">
        <f t="shared" si="5"/>
        <v>3185283010</v>
      </c>
      <c r="I23" s="1741">
        <f t="shared" si="5"/>
        <v>98845089</v>
      </c>
      <c r="J23" s="1741">
        <f t="shared" si="5"/>
        <v>7286488901</v>
      </c>
      <c r="K23" s="1741">
        <f t="shared" si="5"/>
        <v>106677124</v>
      </c>
      <c r="L23" s="1741">
        <f t="shared" si="5"/>
        <v>177933852</v>
      </c>
      <c r="M23" s="1741">
        <f t="shared" si="5"/>
        <v>273514265</v>
      </c>
      <c r="N23" s="1741">
        <f t="shared" si="5"/>
        <v>279315179</v>
      </c>
      <c r="O23" s="1741">
        <f t="shared" si="5"/>
        <v>285656038</v>
      </c>
      <c r="P23" s="1741">
        <f t="shared" si="5"/>
        <v>290973914</v>
      </c>
      <c r="Q23" s="1741">
        <f t="shared" si="5"/>
        <v>127174836</v>
      </c>
      <c r="R23" s="1741">
        <f t="shared" si="5"/>
        <v>112511587</v>
      </c>
      <c r="S23" s="1741">
        <f t="shared" si="5"/>
        <v>72682962</v>
      </c>
      <c r="T23" s="1741">
        <f t="shared" si="5"/>
        <v>3771540174</v>
      </c>
      <c r="U23" s="1741">
        <f>SUM(U7,U3,U6,U11,U12,U15,U22,U8)</f>
        <v>388253488</v>
      </c>
      <c r="V23" s="1741">
        <f t="shared" si="5"/>
        <v>4797882004</v>
      </c>
      <c r="W23" s="1741">
        <f>SUM(W7,W3,W6,W11,W12,W15,W22,W8)</f>
        <v>0</v>
      </c>
      <c r="X23" s="1741">
        <f>SUM(X7,X3,X6,X11,X12,X15,X22,X8)</f>
        <v>0</v>
      </c>
      <c r="Y23" s="1743">
        <f>SUM(B23:X23)</f>
        <v>28600920381</v>
      </c>
      <c r="AA23" s="96"/>
    </row>
    <row r="24" spans="1:29" ht="25.5" customHeight="1" thickBot="1" x14ac:dyDescent="0.45">
      <c r="A24" s="626" t="s">
        <v>518</v>
      </c>
      <c r="B24" s="1741">
        <v>0</v>
      </c>
      <c r="C24" s="1741">
        <v>0</v>
      </c>
      <c r="D24" s="1741">
        <v>0</v>
      </c>
      <c r="E24" s="1741">
        <v>0</v>
      </c>
      <c r="F24" s="1741">
        <v>0</v>
      </c>
      <c r="G24" s="1741">
        <v>0</v>
      </c>
      <c r="H24" s="1741">
        <v>0</v>
      </c>
      <c r="I24" s="1741">
        <v>0</v>
      </c>
      <c r="J24" s="1741">
        <v>0</v>
      </c>
      <c r="K24" s="1741">
        <v>0</v>
      </c>
      <c r="L24" s="1741">
        <v>0</v>
      </c>
      <c r="M24" s="1741">
        <v>0</v>
      </c>
      <c r="N24" s="1741">
        <v>0</v>
      </c>
      <c r="O24" s="1741">
        <v>0</v>
      </c>
      <c r="P24" s="1741">
        <v>0</v>
      </c>
      <c r="Q24" s="1741">
        <v>0</v>
      </c>
      <c r="R24" s="1741">
        <v>0</v>
      </c>
      <c r="S24" s="1741">
        <v>0</v>
      </c>
      <c r="T24" s="1741">
        <v>0</v>
      </c>
      <c r="U24" s="1741">
        <v>0</v>
      </c>
      <c r="V24" s="1741">
        <v>0</v>
      </c>
      <c r="W24" s="1741">
        <v>70378000</v>
      </c>
      <c r="X24" s="1741">
        <v>0</v>
      </c>
      <c r="Y24" s="1744">
        <f>SUM(W24:X24)</f>
        <v>70378000</v>
      </c>
      <c r="AA24" s="96"/>
    </row>
    <row r="25" spans="1:29" ht="24" customHeight="1" thickBot="1" x14ac:dyDescent="0.45">
      <c r="A25" s="627" t="s">
        <v>204</v>
      </c>
      <c r="B25" s="1741">
        <v>0</v>
      </c>
      <c r="C25" s="1741">
        <v>0</v>
      </c>
      <c r="D25" s="1741">
        <v>0</v>
      </c>
      <c r="E25" s="1741">
        <v>0</v>
      </c>
      <c r="F25" s="1741">
        <v>0</v>
      </c>
      <c r="G25" s="1741">
        <v>0</v>
      </c>
      <c r="H25" s="1741">
        <v>0</v>
      </c>
      <c r="I25" s="1741">
        <v>0</v>
      </c>
      <c r="J25" s="1741">
        <v>0</v>
      </c>
      <c r="K25" s="1741">
        <v>0</v>
      </c>
      <c r="L25" s="1741">
        <v>0</v>
      </c>
      <c r="M25" s="1741">
        <v>0</v>
      </c>
      <c r="N25" s="1741">
        <v>0</v>
      </c>
      <c r="O25" s="1741">
        <v>0</v>
      </c>
      <c r="P25" s="1741">
        <v>0</v>
      </c>
      <c r="Q25" s="1741">
        <v>0</v>
      </c>
      <c r="R25" s="1741">
        <v>0</v>
      </c>
      <c r="S25" s="1741">
        <v>0</v>
      </c>
      <c r="T25" s="1741">
        <v>0</v>
      </c>
      <c r="U25" s="1741">
        <v>0</v>
      </c>
      <c r="V25" s="1741">
        <v>0</v>
      </c>
      <c r="W25" s="1741">
        <v>0</v>
      </c>
      <c r="X25" s="1741">
        <v>61517500</v>
      </c>
      <c r="Y25" s="1748">
        <f>SUM(X25)</f>
        <v>61517500</v>
      </c>
      <c r="Z25" s="96"/>
      <c r="AA25" s="96"/>
    </row>
    <row r="26" spans="1:29" ht="36.75" customHeight="1" thickBot="1" x14ac:dyDescent="0.45">
      <c r="A26" s="627" t="s">
        <v>33</v>
      </c>
      <c r="B26" s="1749">
        <f t="shared" ref="B26:V26" si="6">SUM(B23:B25)</f>
        <v>1296242968</v>
      </c>
      <c r="C26" s="1749">
        <f t="shared" si="6"/>
        <v>1363269936</v>
      </c>
      <c r="D26" s="1749">
        <f t="shared" si="6"/>
        <v>1826537047</v>
      </c>
      <c r="E26" s="1749">
        <f t="shared" si="6"/>
        <v>906816022</v>
      </c>
      <c r="F26" s="1749">
        <f t="shared" si="6"/>
        <v>1922128276</v>
      </c>
      <c r="G26" s="1749">
        <f t="shared" si="6"/>
        <v>31193709</v>
      </c>
      <c r="H26" s="1749">
        <f t="shared" si="6"/>
        <v>3185283010</v>
      </c>
      <c r="I26" s="1749">
        <f t="shared" si="6"/>
        <v>98845089</v>
      </c>
      <c r="J26" s="1749">
        <f t="shared" si="6"/>
        <v>7286488901</v>
      </c>
      <c r="K26" s="1749">
        <f t="shared" si="6"/>
        <v>106677124</v>
      </c>
      <c r="L26" s="1749">
        <f t="shared" si="6"/>
        <v>177933852</v>
      </c>
      <c r="M26" s="1749">
        <f t="shared" si="6"/>
        <v>273514265</v>
      </c>
      <c r="N26" s="1749">
        <f t="shared" si="6"/>
        <v>279315179</v>
      </c>
      <c r="O26" s="1749">
        <f t="shared" si="6"/>
        <v>285656038</v>
      </c>
      <c r="P26" s="1749">
        <f t="shared" si="6"/>
        <v>290973914</v>
      </c>
      <c r="Q26" s="1749">
        <f t="shared" si="6"/>
        <v>127174836</v>
      </c>
      <c r="R26" s="1749">
        <f t="shared" si="6"/>
        <v>112511587</v>
      </c>
      <c r="S26" s="1749">
        <f t="shared" si="6"/>
        <v>72682962</v>
      </c>
      <c r="T26" s="1749">
        <f t="shared" si="6"/>
        <v>3771540174</v>
      </c>
      <c r="U26" s="1749">
        <f t="shared" si="6"/>
        <v>388253488</v>
      </c>
      <c r="V26" s="1749">
        <f t="shared" si="6"/>
        <v>4797882004</v>
      </c>
      <c r="W26" s="1749">
        <f>SUM(W3:W25)</f>
        <v>70378000</v>
      </c>
      <c r="X26" s="1749">
        <f>SUM(X3:X25)</f>
        <v>61517500</v>
      </c>
      <c r="Y26" s="1748">
        <f>SUM(B26:X26)</f>
        <v>28732815881</v>
      </c>
      <c r="Z26" s="96"/>
      <c r="AA26" s="96"/>
    </row>
    <row r="27" spans="1:29" ht="7.5" customHeight="1" x14ac:dyDescent="0.4">
      <c r="AA27" s="96"/>
    </row>
    <row r="28" spans="1:29" x14ac:dyDescent="0.4">
      <c r="A28" s="533" t="s">
        <v>544</v>
      </c>
      <c r="B28" s="534"/>
      <c r="C28" s="535"/>
      <c r="D28" s="534"/>
      <c r="E28" s="534"/>
      <c r="F28" s="534"/>
      <c r="G28" s="534"/>
      <c r="H28" s="534"/>
      <c r="I28" s="534"/>
      <c r="J28" s="534"/>
      <c r="K28" s="534"/>
      <c r="L28" s="534"/>
      <c r="M28" s="534"/>
      <c r="N28" s="534"/>
      <c r="O28" s="534"/>
      <c r="P28" s="534"/>
      <c r="Q28" s="534"/>
      <c r="R28" s="534"/>
      <c r="S28" s="534"/>
      <c r="T28" s="534"/>
      <c r="U28" s="534"/>
      <c r="V28" s="534"/>
      <c r="W28" s="534"/>
      <c r="X28" s="534"/>
      <c r="Y28" s="535"/>
      <c r="Z28" s="96"/>
      <c r="AA28" s="96"/>
    </row>
    <row r="29" spans="1:29" ht="85.5" customHeight="1" x14ac:dyDescent="0.4">
      <c r="E29" s="2823" t="s">
        <v>566</v>
      </c>
      <c r="F29" s="2823"/>
      <c r="G29" s="2823"/>
      <c r="H29" s="2823"/>
      <c r="I29" s="2823"/>
      <c r="V29" s="90">
        <f>+W29*1000</f>
        <v>70378000</v>
      </c>
      <c r="W29" s="90">
        <v>70378</v>
      </c>
      <c r="Y29" s="96">
        <f>+Y28*1000</f>
        <v>0</v>
      </c>
      <c r="Z29" s="96"/>
      <c r="AA29" s="96"/>
    </row>
    <row r="30" spans="1:29" x14ac:dyDescent="0.4">
      <c r="V30" s="90">
        <f>+W30*1000</f>
        <v>61517500</v>
      </c>
      <c r="W30" s="90">
        <v>61517.5</v>
      </c>
      <c r="Y30" s="96">
        <f>+Y26-Y29</f>
        <v>28732815881</v>
      </c>
    </row>
    <row r="38" spans="15:15" x14ac:dyDescent="0.4">
      <c r="O38" s="90" t="s">
        <v>567</v>
      </c>
    </row>
  </sheetData>
  <mergeCells count="2">
    <mergeCell ref="A1:Y1"/>
    <mergeCell ref="E29:I29"/>
  </mergeCells>
  <printOptions horizontalCentered="1"/>
  <pageMargins left="0.19685039370078741" right="0.19685039370078741" top="0.98425196850393704" bottom="0.98425196850393704" header="0" footer="0"/>
  <pageSetup paperSize="9" scale="65" firstPageNumber="52" fitToHeight="2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J33"/>
  <sheetViews>
    <sheetView rightToLeft="1" view="pageBreakPreview" topLeftCell="A4" zoomScaleNormal="85" zoomScaleSheetLayoutView="100" workbookViewId="0">
      <selection activeCell="C18" sqref="C3:C18"/>
    </sheetView>
  </sheetViews>
  <sheetFormatPr defaultColWidth="7" defaultRowHeight="15.75" x14ac:dyDescent="0.4"/>
  <cols>
    <col min="1" max="1" width="19" style="90" customWidth="1"/>
    <col min="2" max="2" width="13.375" style="90" customWidth="1"/>
    <col min="3" max="3" width="12.125" style="90" customWidth="1"/>
    <col min="4" max="15" width="8.625" style="90" customWidth="1"/>
    <col min="16" max="16" width="13.25" style="90" bestFit="1" customWidth="1"/>
    <col min="17" max="17" width="10.125" style="90" bestFit="1" customWidth="1"/>
    <col min="18" max="19" width="8.375" style="90" bestFit="1" customWidth="1"/>
    <col min="20" max="20" width="7" style="90"/>
    <col min="21" max="21" width="8.25" style="90" bestFit="1" customWidth="1"/>
    <col min="22" max="16384" width="7" style="90"/>
  </cols>
  <sheetData>
    <row r="1" spans="1:36" ht="41.25" customHeight="1" thickBot="1" x14ac:dyDescent="0.45">
      <c r="A1" s="2711" t="s">
        <v>157</v>
      </c>
      <c r="B1" s="2711"/>
      <c r="C1" s="2711"/>
      <c r="D1" s="2711"/>
      <c r="E1" s="2711"/>
      <c r="F1" s="2711"/>
      <c r="G1" s="2711"/>
      <c r="H1" s="2711"/>
      <c r="I1" s="2711"/>
      <c r="J1" s="2711"/>
      <c r="K1" s="2711"/>
      <c r="L1" s="2711"/>
      <c r="M1" s="2711"/>
      <c r="N1" s="2711"/>
      <c r="O1" s="2711"/>
      <c r="P1" s="2711"/>
      <c r="T1" s="91"/>
    </row>
    <row r="2" spans="1:36" ht="41.25" customHeight="1" thickBot="1" x14ac:dyDescent="0.45">
      <c r="A2" s="2712" t="s">
        <v>118</v>
      </c>
      <c r="B2" s="2713"/>
      <c r="C2" s="2624" t="s">
        <v>119</v>
      </c>
      <c r="D2" s="2616" t="s">
        <v>158</v>
      </c>
      <c r="E2" s="2617" t="s">
        <v>159</v>
      </c>
      <c r="F2" s="2617" t="s">
        <v>160</v>
      </c>
      <c r="G2" s="2617" t="s">
        <v>161</v>
      </c>
      <c r="H2" s="2617" t="s">
        <v>162</v>
      </c>
      <c r="I2" s="2617" t="s">
        <v>163</v>
      </c>
      <c r="J2" s="2617" t="s">
        <v>164</v>
      </c>
      <c r="K2" s="2617" t="s">
        <v>165</v>
      </c>
      <c r="L2" s="2617" t="s">
        <v>166</v>
      </c>
      <c r="M2" s="2617" t="s">
        <v>167</v>
      </c>
      <c r="N2" s="2617" t="s">
        <v>168</v>
      </c>
      <c r="O2" s="2615" t="s">
        <v>169</v>
      </c>
      <c r="P2" s="2618" t="s">
        <v>1185</v>
      </c>
      <c r="T2" s="91"/>
      <c r="Y2" s="91"/>
    </row>
    <row r="3" spans="1:36" ht="30" customHeight="1" x14ac:dyDescent="0.4">
      <c r="A3" s="2716" t="s">
        <v>171</v>
      </c>
      <c r="B3" s="2717"/>
      <c r="C3" s="2327" t="s">
        <v>127</v>
      </c>
      <c r="D3" s="2626">
        <v>530</v>
      </c>
      <c r="E3" s="2627">
        <v>519</v>
      </c>
      <c r="F3" s="2627">
        <v>496</v>
      </c>
      <c r="G3" s="2627">
        <v>490</v>
      </c>
      <c r="H3" s="2627">
        <v>489</v>
      </c>
      <c r="I3" s="2627">
        <v>509</v>
      </c>
      <c r="J3" s="2627">
        <v>513</v>
      </c>
      <c r="K3" s="2627">
        <v>527</v>
      </c>
      <c r="L3" s="2627">
        <v>541</v>
      </c>
      <c r="M3" s="2627">
        <v>544</v>
      </c>
      <c r="N3" s="2627">
        <v>555</v>
      </c>
      <c r="O3" s="2627">
        <v>573</v>
      </c>
      <c r="P3" s="2628">
        <f>AVERAGE(D3:O3)</f>
        <v>523.83333333333337</v>
      </c>
      <c r="Q3" s="2623"/>
      <c r="T3" s="91"/>
      <c r="Y3" s="91"/>
    </row>
    <row r="4" spans="1:36" ht="30" customHeight="1" x14ac:dyDescent="0.4">
      <c r="A4" s="2703" t="s">
        <v>172</v>
      </c>
      <c r="B4" s="2704"/>
      <c r="C4" s="236" t="s">
        <v>127</v>
      </c>
      <c r="D4" s="2625">
        <v>1336</v>
      </c>
      <c r="E4" s="2614">
        <v>1338</v>
      </c>
      <c r="F4" s="2614">
        <v>1338</v>
      </c>
      <c r="G4" s="2614">
        <v>1322</v>
      </c>
      <c r="H4" s="2614">
        <v>1325</v>
      </c>
      <c r="I4" s="2614">
        <v>1302</v>
      </c>
      <c r="J4" s="2614">
        <v>1288</v>
      </c>
      <c r="K4" s="2614">
        <v>1247</v>
      </c>
      <c r="L4" s="2614">
        <v>1250</v>
      </c>
      <c r="M4" s="2614">
        <v>1252</v>
      </c>
      <c r="N4" s="2614">
        <v>1267</v>
      </c>
      <c r="O4" s="2614">
        <v>1294</v>
      </c>
      <c r="P4" s="2629">
        <f>AVERAGE(D4:O4)</f>
        <v>1296.5833333333333</v>
      </c>
      <c r="Q4" s="95"/>
      <c r="R4" s="95">
        <f>+P4+P5</f>
        <v>1429.3333333333333</v>
      </c>
      <c r="S4" s="95">
        <f>+O4+O5</f>
        <v>1421</v>
      </c>
      <c r="T4" s="91"/>
      <c r="Y4" s="91"/>
    </row>
    <row r="5" spans="1:36" ht="30" customHeight="1" x14ac:dyDescent="0.4">
      <c r="A5" s="2703" t="s">
        <v>173</v>
      </c>
      <c r="B5" s="2704"/>
      <c r="C5" s="236" t="s">
        <v>127</v>
      </c>
      <c r="D5" s="2625">
        <v>158</v>
      </c>
      <c r="E5" s="2614">
        <v>152</v>
      </c>
      <c r="F5" s="2614">
        <v>152</v>
      </c>
      <c r="G5" s="2614">
        <v>147</v>
      </c>
      <c r="H5" s="2614">
        <v>148</v>
      </c>
      <c r="I5" s="2614">
        <v>125</v>
      </c>
      <c r="J5" s="2614">
        <v>121</v>
      </c>
      <c r="K5" s="2614">
        <v>117</v>
      </c>
      <c r="L5" s="2614">
        <v>114</v>
      </c>
      <c r="M5" s="2614">
        <v>112</v>
      </c>
      <c r="N5" s="2614">
        <v>120</v>
      </c>
      <c r="O5" s="2614">
        <v>127</v>
      </c>
      <c r="P5" s="2629">
        <f>AVERAGE(D5:O5)</f>
        <v>132.75</v>
      </c>
      <c r="Q5" s="95"/>
      <c r="R5" s="95"/>
      <c r="S5" s="95">
        <f>+P4+P5</f>
        <v>1429.3333333333333</v>
      </c>
      <c r="T5" s="91"/>
      <c r="Y5" s="91"/>
    </row>
    <row r="6" spans="1:36" ht="30" customHeight="1" x14ac:dyDescent="0.4">
      <c r="A6" s="2714" t="s">
        <v>174</v>
      </c>
      <c r="B6" s="2715"/>
      <c r="C6" s="236" t="s">
        <v>127</v>
      </c>
      <c r="D6" s="2625">
        <v>26271</v>
      </c>
      <c r="E6" s="2614">
        <v>26365</v>
      </c>
      <c r="F6" s="2614">
        <v>26190</v>
      </c>
      <c r="G6" s="2614">
        <v>25979</v>
      </c>
      <c r="H6" s="2614">
        <v>25935</v>
      </c>
      <c r="I6" s="2614">
        <v>25253</v>
      </c>
      <c r="J6" s="2614">
        <v>25491</v>
      </c>
      <c r="K6" s="2614">
        <v>25498</v>
      </c>
      <c r="L6" s="2614">
        <v>25209</v>
      </c>
      <c r="M6" s="2614">
        <v>25381</v>
      </c>
      <c r="N6" s="2614">
        <v>25585</v>
      </c>
      <c r="O6" s="2614">
        <v>26145</v>
      </c>
      <c r="P6" s="2629">
        <f>AVERAGE(D6:O6)</f>
        <v>25775.166666666668</v>
      </c>
      <c r="Q6" s="95"/>
      <c r="T6" s="91"/>
      <c r="Y6" s="91"/>
    </row>
    <row r="7" spans="1:36" ht="30" customHeight="1" x14ac:dyDescent="0.4">
      <c r="A7" s="2703" t="s">
        <v>175</v>
      </c>
      <c r="B7" s="2704"/>
      <c r="C7" s="236" t="s">
        <v>176</v>
      </c>
      <c r="D7" s="2630">
        <v>2374.7640000000001</v>
      </c>
      <c r="E7" s="2631">
        <v>2611.6619999999998</v>
      </c>
      <c r="F7" s="2631">
        <v>2588.5300000000002</v>
      </c>
      <c r="G7" s="2631">
        <v>2594.9589999999998</v>
      </c>
      <c r="H7" s="2631">
        <v>2645.0940000000001</v>
      </c>
      <c r="I7" s="2631">
        <v>2617.6590000000001</v>
      </c>
      <c r="J7" s="2631">
        <v>2546.645</v>
      </c>
      <c r="K7" s="2631">
        <v>2553.3820000000001</v>
      </c>
      <c r="L7" s="2631">
        <v>2499.569</v>
      </c>
      <c r="M7" s="2631">
        <v>2362.3119999999999</v>
      </c>
      <c r="N7" s="2631">
        <v>2502.1489999999999</v>
      </c>
      <c r="O7" s="2632">
        <v>2244.259</v>
      </c>
      <c r="P7" s="2633">
        <f>SUM(D7:O7)</f>
        <v>30140.984000000004</v>
      </c>
      <c r="T7" s="91"/>
      <c r="Y7" s="91"/>
    </row>
    <row r="8" spans="1:36" ht="30" customHeight="1" x14ac:dyDescent="0.4">
      <c r="A8" s="2703" t="s">
        <v>177</v>
      </c>
      <c r="B8" s="2704"/>
      <c r="C8" s="236" t="s">
        <v>178</v>
      </c>
      <c r="D8" s="2634">
        <v>1310.0454709999999</v>
      </c>
      <c r="E8" s="2635">
        <v>1356.4274833290563</v>
      </c>
      <c r="F8" s="2635">
        <v>1341.4602002869165</v>
      </c>
      <c r="G8" s="2635">
        <v>1337.0775473769488</v>
      </c>
      <c r="H8" s="2635">
        <v>1310.5404102869165</v>
      </c>
      <c r="I8" s="2635">
        <v>1325.1722006465425</v>
      </c>
      <c r="J8" s="2635">
        <v>1279.5383165630403</v>
      </c>
      <c r="K8" s="2635">
        <v>1268.4577099226663</v>
      </c>
      <c r="L8" s="2635">
        <v>1247.823388832634</v>
      </c>
      <c r="M8" s="2635">
        <v>1170.5858529226664</v>
      </c>
      <c r="N8" s="2635">
        <v>1294.7981098326341</v>
      </c>
      <c r="O8" s="2635">
        <v>1116.5936039999999</v>
      </c>
      <c r="P8" s="2636">
        <f>SUM(D8:O8)</f>
        <v>15358.520295000022</v>
      </c>
      <c r="Q8" s="95"/>
      <c r="T8" s="91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36" ht="30" customHeight="1" thickBot="1" x14ac:dyDescent="0.45">
      <c r="A9" s="2703" t="s">
        <v>179</v>
      </c>
      <c r="B9" s="2704"/>
      <c r="C9" s="236" t="s">
        <v>121</v>
      </c>
      <c r="D9" s="2637">
        <f>D8*1000/D7</f>
        <v>551.65290993126052</v>
      </c>
      <c r="E9" s="2631">
        <f t="shared" ref="E9:O9" si="0">E8*1000/E7</f>
        <v>519.37328924227427</v>
      </c>
      <c r="F9" s="2631">
        <f t="shared" si="0"/>
        <v>518.23243319062033</v>
      </c>
      <c r="G9" s="2631">
        <f t="shared" si="0"/>
        <v>515.25960424690675</v>
      </c>
      <c r="H9" s="2631">
        <f t="shared" si="0"/>
        <v>495.4608079285336</v>
      </c>
      <c r="I9" s="2631">
        <f t="shared" si="0"/>
        <v>506.2432504182334</v>
      </c>
      <c r="J9" s="2631">
        <f t="shared" si="0"/>
        <v>502.44078643196843</v>
      </c>
      <c r="K9" s="2631">
        <f t="shared" si="0"/>
        <v>496.77553531851726</v>
      </c>
      <c r="L9" s="2631">
        <f t="shared" si="0"/>
        <v>499.21542027150844</v>
      </c>
      <c r="M9" s="2631">
        <f t="shared" si="0"/>
        <v>495.5255076055434</v>
      </c>
      <c r="N9" s="2631">
        <f t="shared" si="0"/>
        <v>517.47442291911238</v>
      </c>
      <c r="O9" s="2631">
        <f t="shared" si="0"/>
        <v>497.53330787578432</v>
      </c>
      <c r="P9" s="2638">
        <f>P8*1000/P7</f>
        <v>509.55603489919309</v>
      </c>
      <c r="T9" s="91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36"/>
    </row>
    <row r="10" spans="1:36" ht="30" customHeight="1" thickBot="1" x14ac:dyDescent="0.45">
      <c r="A10" s="2703" t="s">
        <v>136</v>
      </c>
      <c r="B10" s="2704"/>
      <c r="C10" s="236" t="s">
        <v>147</v>
      </c>
      <c r="D10" s="2639">
        <v>3574.5790000000002</v>
      </c>
      <c r="E10" s="2640">
        <v>3465.4360000000001</v>
      </c>
      <c r="F10" s="2640">
        <v>3295.84</v>
      </c>
      <c r="G10" s="2640">
        <v>3158.6669999999999</v>
      </c>
      <c r="H10" s="2640">
        <v>3070.625</v>
      </c>
      <c r="I10" s="2640">
        <v>3342.2060000000001</v>
      </c>
      <c r="J10" s="2640">
        <v>3581.9670000000001</v>
      </c>
      <c r="K10" s="2640">
        <v>3514.7669999999998</v>
      </c>
      <c r="L10" s="2640">
        <v>3484.3980000000001</v>
      </c>
      <c r="M10" s="2640">
        <v>3485.2530000000002</v>
      </c>
      <c r="N10" s="2640">
        <v>3405.288</v>
      </c>
      <c r="O10" s="2640">
        <v>3252.4749999999999</v>
      </c>
      <c r="P10" s="2641">
        <f>SUM(D10:O10)</f>
        <v>40631.500999999997</v>
      </c>
      <c r="Q10" s="96">
        <f>+P10-'18'!N13</f>
        <v>0</v>
      </c>
      <c r="T10" s="91"/>
      <c r="U10" s="97">
        <v>60224</v>
      </c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36"/>
    </row>
    <row r="11" spans="1:36" ht="30" customHeight="1" thickBot="1" x14ac:dyDescent="0.45">
      <c r="A11" s="2703" t="s">
        <v>180</v>
      </c>
      <c r="B11" s="2704"/>
      <c r="C11" s="236" t="s">
        <v>181</v>
      </c>
      <c r="D11" s="2639">
        <v>2547.5440439999998</v>
      </c>
      <c r="E11" s="2640">
        <v>2464.6733869999998</v>
      </c>
      <c r="F11" s="2640">
        <v>2325.2705400000004</v>
      </c>
      <c r="G11" s="2640">
        <v>2266.0961030000003</v>
      </c>
      <c r="H11" s="2640">
        <v>2192.0644630000002</v>
      </c>
      <c r="I11" s="2640">
        <v>2305.1479159999999</v>
      </c>
      <c r="J11" s="2640">
        <v>2503.2286830000003</v>
      </c>
      <c r="K11" s="2640">
        <v>2396.4791809999997</v>
      </c>
      <c r="L11" s="2640">
        <v>2374.7461280000002</v>
      </c>
      <c r="M11" s="2640">
        <v>2468.4704000000002</v>
      </c>
      <c r="N11" s="2640">
        <v>2455.2625619999994</v>
      </c>
      <c r="O11" s="2640">
        <v>2433.8300700000004</v>
      </c>
      <c r="P11" s="2641">
        <f>SUM(D11:O11)</f>
        <v>28732.813476999996</v>
      </c>
      <c r="Q11" s="96">
        <f>+P11-'18'!N14</f>
        <v>-2.4040000025706831E-3</v>
      </c>
      <c r="S11" s="95">
        <f>SUM(D10:I10)</f>
        <v>19907.352999999996</v>
      </c>
      <c r="T11" s="91"/>
      <c r="U11" s="97">
        <v>61181</v>
      </c>
      <c r="Y11" s="91"/>
    </row>
    <row r="12" spans="1:36" ht="30" customHeight="1" thickBot="1" x14ac:dyDescent="0.45">
      <c r="A12" s="2703" t="s">
        <v>182</v>
      </c>
      <c r="B12" s="2704"/>
      <c r="C12" s="236" t="s">
        <v>121</v>
      </c>
      <c r="D12" s="2639">
        <f>+D11/D10*1000</f>
        <v>712.68365981000829</v>
      </c>
      <c r="E12" s="2640">
        <f t="shared" ref="E12:P12" si="1">+E11/E10*1000</f>
        <v>711.2159586845637</v>
      </c>
      <c r="F12" s="2640">
        <f t="shared" si="1"/>
        <v>705.51681513665721</v>
      </c>
      <c r="G12" s="2640">
        <f t="shared" si="1"/>
        <v>717.42165381789221</v>
      </c>
      <c r="H12" s="2640">
        <f t="shared" si="1"/>
        <v>713.88217805821296</v>
      </c>
      <c r="I12" s="2640">
        <f t="shared" si="1"/>
        <v>689.7085086915647</v>
      </c>
      <c r="J12" s="2640">
        <f t="shared" si="1"/>
        <v>698.84191646656711</v>
      </c>
      <c r="K12" s="2640">
        <f t="shared" si="1"/>
        <v>681.83159253515237</v>
      </c>
      <c r="L12" s="2640">
        <f t="shared" si="1"/>
        <v>681.53699089484041</v>
      </c>
      <c r="M12" s="2640">
        <f t="shared" si="1"/>
        <v>708.26146624075784</v>
      </c>
      <c r="N12" s="2640">
        <f t="shared" si="1"/>
        <v>721.01465779105888</v>
      </c>
      <c r="O12" s="2640">
        <f t="shared" si="1"/>
        <v>748.30093082959911</v>
      </c>
      <c r="P12" s="2641">
        <f t="shared" si="1"/>
        <v>707.15609243675237</v>
      </c>
      <c r="Q12" s="96"/>
      <c r="S12" s="90">
        <f>+S11/1000</f>
        <v>19.907352999999997</v>
      </c>
      <c r="T12" s="91"/>
      <c r="U12" s="97">
        <v>53059</v>
      </c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</row>
    <row r="13" spans="1:36" ht="30" customHeight="1" thickBot="1" x14ac:dyDescent="0.45">
      <c r="A13" s="2703" t="s">
        <v>183</v>
      </c>
      <c r="B13" s="2704"/>
      <c r="C13" s="236" t="s">
        <v>137</v>
      </c>
      <c r="D13" s="2639">
        <v>34815.332999999999</v>
      </c>
      <c r="E13" s="2640">
        <v>34144.622000000003</v>
      </c>
      <c r="F13" s="2640">
        <v>32749.684000000001</v>
      </c>
      <c r="G13" s="2640">
        <v>31443.95</v>
      </c>
      <c r="H13" s="2640">
        <v>31623.909</v>
      </c>
      <c r="I13" s="2640">
        <v>32591.741000000002</v>
      </c>
      <c r="J13" s="2640">
        <v>33312.506999999998</v>
      </c>
      <c r="K13" s="2640">
        <v>33327.184999999998</v>
      </c>
      <c r="L13" s="2640">
        <v>32673.024000000001</v>
      </c>
      <c r="M13" s="2640">
        <v>33177.535000000003</v>
      </c>
      <c r="N13" s="2640">
        <v>33645.603000000003</v>
      </c>
      <c r="O13" s="2640">
        <v>33792.114999999998</v>
      </c>
      <c r="P13" s="2641">
        <f>SUM(D13:O13)</f>
        <v>397297.20799999998</v>
      </c>
      <c r="Q13" s="96">
        <f>+P13-'18'!N15</f>
        <v>0</v>
      </c>
      <c r="T13" s="98"/>
      <c r="U13" s="97">
        <v>52032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</row>
    <row r="14" spans="1:36" ht="30" customHeight="1" thickBot="1" x14ac:dyDescent="0.45">
      <c r="A14" s="2703" t="s">
        <v>184</v>
      </c>
      <c r="B14" s="2704"/>
      <c r="C14" s="236" t="s">
        <v>139</v>
      </c>
      <c r="D14" s="2639">
        <v>4363.0498500000003</v>
      </c>
      <c r="E14" s="2640">
        <v>4209.3926789999996</v>
      </c>
      <c r="F14" s="2640">
        <v>3974.690932</v>
      </c>
      <c r="G14" s="2640">
        <v>3847.6160030000001</v>
      </c>
      <c r="H14" s="2640">
        <v>3851.394456</v>
      </c>
      <c r="I14" s="2640">
        <v>4025.7571320000002</v>
      </c>
      <c r="J14" s="2640">
        <v>4110.9053750000003</v>
      </c>
      <c r="K14" s="2640">
        <v>4100.5907129999996</v>
      </c>
      <c r="L14" s="2640">
        <v>4111.9041280000001</v>
      </c>
      <c r="M14" s="2640">
        <v>4190.3487029999997</v>
      </c>
      <c r="N14" s="2640">
        <v>4349.606769</v>
      </c>
      <c r="O14" s="2640">
        <v>4432.980579</v>
      </c>
      <c r="P14" s="2641">
        <f>SUM(D14:O14)</f>
        <v>49568.237319000007</v>
      </c>
      <c r="Q14" s="96">
        <f>+P14-'18'!N16</f>
        <v>2.7000009140465409E-5</v>
      </c>
      <c r="T14" s="98"/>
      <c r="U14" s="97">
        <v>57536</v>
      </c>
    </row>
    <row r="15" spans="1:36" ht="30" customHeight="1" thickBot="1" x14ac:dyDescent="0.45">
      <c r="A15" s="2705" t="s">
        <v>142</v>
      </c>
      <c r="B15" s="2706"/>
      <c r="C15" s="2328" t="s">
        <v>127</v>
      </c>
      <c r="D15" s="2642">
        <v>57308</v>
      </c>
      <c r="E15" s="2643">
        <v>55707</v>
      </c>
      <c r="F15" s="2643">
        <v>54048</v>
      </c>
      <c r="G15" s="2643">
        <v>52229</v>
      </c>
      <c r="H15" s="2643">
        <v>51010</v>
      </c>
      <c r="I15" s="2643">
        <v>54262</v>
      </c>
      <c r="J15" s="2643">
        <v>58530</v>
      </c>
      <c r="K15" s="2643">
        <v>57897</v>
      </c>
      <c r="L15" s="2643">
        <v>56902</v>
      </c>
      <c r="M15" s="2643">
        <v>57296</v>
      </c>
      <c r="N15" s="2643">
        <v>55575</v>
      </c>
      <c r="O15" s="2643">
        <v>53549</v>
      </c>
      <c r="P15" s="2644">
        <f>SUM(D15:O15)</f>
        <v>664313</v>
      </c>
      <c r="Q15" s="96">
        <f>+P15-'18'!N17</f>
        <v>0</v>
      </c>
      <c r="T15" s="98"/>
    </row>
    <row r="16" spans="1:36" ht="33.75" customHeight="1" x14ac:dyDescent="0.4">
      <c r="A16" s="2707" t="s">
        <v>185</v>
      </c>
      <c r="B16" s="2708"/>
      <c r="C16" s="272" t="s">
        <v>186</v>
      </c>
      <c r="D16" s="2645"/>
      <c r="E16" s="2646"/>
      <c r="F16" s="2646"/>
      <c r="G16" s="2646"/>
      <c r="H16" s="2646"/>
      <c r="I16" s="2646"/>
      <c r="J16" s="2646"/>
      <c r="K16" s="2646"/>
      <c r="L16" s="2646"/>
      <c r="M16" s="2646"/>
      <c r="N16" s="2646"/>
      <c r="O16" s="2646"/>
      <c r="P16" s="2647"/>
      <c r="T16" s="98"/>
    </row>
    <row r="17" spans="1:20" ht="33.75" customHeight="1" x14ac:dyDescent="0.4">
      <c r="A17" s="2703" t="s">
        <v>187</v>
      </c>
      <c r="B17" s="2704"/>
      <c r="C17" s="236" t="s">
        <v>186</v>
      </c>
      <c r="D17" s="2648"/>
      <c r="E17" s="2649"/>
      <c r="F17" s="2649"/>
      <c r="G17" s="2649"/>
      <c r="H17" s="2649"/>
      <c r="I17" s="2649"/>
      <c r="J17" s="2649"/>
      <c r="K17" s="2649"/>
      <c r="L17" s="2649"/>
      <c r="M17" s="2649"/>
      <c r="N17" s="2649"/>
      <c r="O17" s="2649"/>
      <c r="P17" s="2650"/>
      <c r="T17" s="98"/>
    </row>
    <row r="18" spans="1:20" ht="33.75" customHeight="1" thickBot="1" x14ac:dyDescent="0.45">
      <c r="A18" s="2709" t="s">
        <v>188</v>
      </c>
      <c r="B18" s="2710"/>
      <c r="C18" s="246" t="s">
        <v>186</v>
      </c>
      <c r="D18" s="2651"/>
      <c r="E18" s="2652"/>
      <c r="F18" s="2652"/>
      <c r="G18" s="2652"/>
      <c r="H18" s="2652"/>
      <c r="I18" s="2652"/>
      <c r="J18" s="2652"/>
      <c r="K18" s="2652"/>
      <c r="L18" s="2652"/>
      <c r="M18" s="2652"/>
      <c r="N18" s="2652"/>
      <c r="O18" s="2653"/>
      <c r="P18" s="2654">
        <f t="shared" ref="P18" si="2">SUM(D18:O18)</f>
        <v>0</v>
      </c>
    </row>
    <row r="19" spans="1:20" ht="37.5" customHeight="1" thickBot="1" x14ac:dyDescent="0.45">
      <c r="A19" s="2700" t="s">
        <v>189</v>
      </c>
      <c r="B19" s="2701"/>
      <c r="C19" s="2311" t="s">
        <v>186</v>
      </c>
      <c r="D19" s="2619">
        <f>SUM(D16:D18)</f>
        <v>0</v>
      </c>
      <c r="E19" s="2619">
        <f t="shared" ref="E19:O19" si="3">SUM(E16:E18)</f>
        <v>0</v>
      </c>
      <c r="F19" s="2619">
        <f t="shared" si="3"/>
        <v>0</v>
      </c>
      <c r="G19" s="2619">
        <f t="shared" si="3"/>
        <v>0</v>
      </c>
      <c r="H19" s="2620">
        <f>SUM(H16:H18)</f>
        <v>0</v>
      </c>
      <c r="I19" s="2619">
        <f t="shared" si="3"/>
        <v>0</v>
      </c>
      <c r="J19" s="2619">
        <f t="shared" si="3"/>
        <v>0</v>
      </c>
      <c r="K19" s="2619">
        <f t="shared" si="3"/>
        <v>0</v>
      </c>
      <c r="L19" s="2619">
        <f t="shared" si="3"/>
        <v>0</v>
      </c>
      <c r="M19" s="2619">
        <f>SUM(M16:M18)</f>
        <v>0</v>
      </c>
      <c r="N19" s="2619">
        <f t="shared" si="3"/>
        <v>0</v>
      </c>
      <c r="O19" s="2621">
        <f t="shared" si="3"/>
        <v>0</v>
      </c>
      <c r="P19" s="2622">
        <f>SUM(P16:P18)</f>
        <v>0</v>
      </c>
    </row>
    <row r="20" spans="1:20" ht="22.5" customHeight="1" x14ac:dyDescent="0.4">
      <c r="A20" s="100"/>
      <c r="B20" s="100"/>
      <c r="C20" s="100"/>
      <c r="D20" s="100"/>
      <c r="E20" s="100"/>
      <c r="F20" s="100"/>
      <c r="P20" s="95"/>
    </row>
    <row r="21" spans="1:20" ht="22.5" customHeight="1" x14ac:dyDescent="0.4">
      <c r="A21" s="2702"/>
      <c r="B21" s="2702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</row>
    <row r="22" spans="1:20" x14ac:dyDescent="0.4">
      <c r="A22" s="102"/>
      <c r="B22" s="103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</row>
    <row r="23" spans="1:20" x14ac:dyDescent="0.4"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20" x14ac:dyDescent="0.4">
      <c r="C24" s="90" t="s">
        <v>190</v>
      </c>
      <c r="D24" s="95" t="s">
        <v>191</v>
      </c>
      <c r="E24" s="95"/>
      <c r="F24" s="95" t="s">
        <v>192</v>
      </c>
      <c r="G24" s="95" t="s">
        <v>193</v>
      </c>
      <c r="H24" s="95" t="s">
        <v>194</v>
      </c>
      <c r="I24" s="95"/>
      <c r="J24" s="95"/>
      <c r="K24" s="95"/>
      <c r="L24" s="95"/>
      <c r="M24" s="95"/>
      <c r="N24" s="95"/>
      <c r="O24" s="95"/>
      <c r="P24" s="95"/>
    </row>
    <row r="25" spans="1:20" x14ac:dyDescent="0.4">
      <c r="D25" s="90" t="s">
        <v>38</v>
      </c>
      <c r="E25" s="90" t="s">
        <v>195</v>
      </c>
    </row>
    <row r="26" spans="1:20" x14ac:dyDescent="0.4">
      <c r="A26" s="90" t="s">
        <v>196</v>
      </c>
      <c r="C26" s="90">
        <v>1</v>
      </c>
      <c r="D26" s="95">
        <v>1403</v>
      </c>
      <c r="E26" s="95" t="s">
        <v>197</v>
      </c>
      <c r="F26" s="95">
        <v>20600</v>
      </c>
      <c r="G26" s="95">
        <v>22660000</v>
      </c>
      <c r="H26" s="95">
        <v>919</v>
      </c>
      <c r="I26" s="95"/>
      <c r="J26" s="95"/>
      <c r="K26" s="95"/>
      <c r="L26" s="95"/>
      <c r="M26" s="95"/>
      <c r="N26" s="95"/>
      <c r="O26" s="95"/>
      <c r="P26" s="95"/>
    </row>
    <row r="27" spans="1:20" x14ac:dyDescent="0.4">
      <c r="A27" s="90" t="s">
        <v>196</v>
      </c>
      <c r="C27" s="90">
        <v>2</v>
      </c>
      <c r="D27" s="90">
        <v>1403</v>
      </c>
      <c r="E27" s="90" t="s">
        <v>159</v>
      </c>
      <c r="F27" s="90">
        <v>21805</v>
      </c>
      <c r="G27" s="90">
        <v>23985500</v>
      </c>
      <c r="H27" s="90">
        <v>985</v>
      </c>
    </row>
    <row r="28" spans="1:20" x14ac:dyDescent="0.4">
      <c r="A28" s="90" t="s">
        <v>196</v>
      </c>
      <c r="C28" s="90">
        <v>3</v>
      </c>
      <c r="D28" s="90">
        <v>1403</v>
      </c>
      <c r="E28" s="90" t="s">
        <v>160</v>
      </c>
      <c r="F28" s="90">
        <v>20945</v>
      </c>
      <c r="G28" s="90">
        <v>23039500</v>
      </c>
      <c r="H28" s="90">
        <v>951</v>
      </c>
    </row>
    <row r="29" spans="1:20" x14ac:dyDescent="0.4">
      <c r="A29" s="90" t="s">
        <v>196</v>
      </c>
      <c r="C29" s="90">
        <v>4</v>
      </c>
      <c r="D29" s="90">
        <v>1403</v>
      </c>
      <c r="E29" s="90" t="s">
        <v>161</v>
      </c>
      <c r="F29" s="90">
        <v>19385</v>
      </c>
      <c r="G29" s="90">
        <v>21323500</v>
      </c>
      <c r="H29" s="90">
        <v>887</v>
      </c>
    </row>
    <row r="30" spans="1:20" x14ac:dyDescent="0.4">
      <c r="A30" s="90" t="s">
        <v>196</v>
      </c>
      <c r="C30" s="90">
        <v>5</v>
      </c>
      <c r="D30" s="90">
        <v>1403</v>
      </c>
      <c r="E30" s="90" t="s">
        <v>162</v>
      </c>
      <c r="F30" s="90">
        <v>18810</v>
      </c>
      <c r="G30" s="90">
        <v>20691000</v>
      </c>
      <c r="H30" s="90">
        <v>856</v>
      </c>
    </row>
    <row r="31" spans="1:20" x14ac:dyDescent="0.4">
      <c r="A31" s="90" t="s">
        <v>196</v>
      </c>
      <c r="C31" s="90">
        <v>6</v>
      </c>
      <c r="D31" s="90">
        <v>1403</v>
      </c>
      <c r="E31" s="90" t="s">
        <v>163</v>
      </c>
      <c r="F31" s="90">
        <v>18360</v>
      </c>
      <c r="G31" s="90">
        <v>20196000</v>
      </c>
      <c r="H31" s="90">
        <v>838</v>
      </c>
      <c r="K31" s="95"/>
    </row>
    <row r="32" spans="1:20" x14ac:dyDescent="0.4">
      <c r="H32" s="95">
        <f>SUM(H26:H31)</f>
        <v>5436</v>
      </c>
    </row>
    <row r="33" spans="8:8" x14ac:dyDescent="0.4">
      <c r="H33" s="95">
        <f>+H32+658877</f>
        <v>664313</v>
      </c>
    </row>
  </sheetData>
  <mergeCells count="20">
    <mergeCell ref="A12:B12"/>
    <mergeCell ref="A1:P1"/>
    <mergeCell ref="A2:B2"/>
    <mergeCell ref="A4:B4"/>
    <mergeCell ref="A5:B5"/>
    <mergeCell ref="A6:B6"/>
    <mergeCell ref="A7:B7"/>
    <mergeCell ref="A8:B8"/>
    <mergeCell ref="A9:B9"/>
    <mergeCell ref="A10:B10"/>
    <mergeCell ref="A11:B11"/>
    <mergeCell ref="A3:B3"/>
    <mergeCell ref="A19:B19"/>
    <mergeCell ref="A21:B21"/>
    <mergeCell ref="A13:B13"/>
    <mergeCell ref="A14:B14"/>
    <mergeCell ref="A15:B15"/>
    <mergeCell ref="A16:B16"/>
    <mergeCell ref="A17:B17"/>
    <mergeCell ref="A18:B18"/>
  </mergeCells>
  <printOptions horizontalCentered="1" verticalCentered="1"/>
  <pageMargins left="0.15748031496062992" right="0.43307086614173229" top="0.98425196850393704" bottom="0.98425196850393704" header="0.51181102362204722" footer="0.51181102362204722"/>
  <pageSetup paperSize="9" scale="65" firstPageNumber="20" pageOrder="overThenDown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8:AA59"/>
  <sheetViews>
    <sheetView rightToLeft="1" workbookViewId="0">
      <selection activeCell="G10" sqref="G10"/>
    </sheetView>
  </sheetViews>
  <sheetFormatPr defaultColWidth="7" defaultRowHeight="15.75" x14ac:dyDescent="0.4"/>
  <cols>
    <col min="1" max="1" width="16.25" style="90" customWidth="1"/>
    <col min="2" max="3" width="13.75" style="90" customWidth="1"/>
    <col min="4" max="5" width="11.875" style="90" customWidth="1"/>
    <col min="6" max="6" width="7" style="90"/>
    <col min="7" max="7" width="7.625" style="90" customWidth="1"/>
    <col min="8" max="8" width="8" style="90" customWidth="1"/>
    <col min="9" max="9" width="10.375" style="90" bestFit="1" customWidth="1"/>
    <col min="10" max="10" width="14.25" style="90" customWidth="1"/>
    <col min="11" max="12" width="7" style="90"/>
    <col min="13" max="13" width="8.375" style="90" bestFit="1" customWidth="1"/>
    <col min="14" max="14" width="13.375" style="90" customWidth="1"/>
    <col min="15" max="15" width="13.125" style="90" customWidth="1"/>
    <col min="16" max="16" width="12.625" style="90" customWidth="1"/>
    <col min="17" max="16384" width="7" style="90"/>
  </cols>
  <sheetData>
    <row r="18" spans="1:27" x14ac:dyDescent="0.4">
      <c r="I18" s="95"/>
    </row>
    <row r="19" spans="1:27" ht="20.25" customHeight="1" x14ac:dyDescent="0.4">
      <c r="A19" s="2774" t="s">
        <v>568</v>
      </c>
      <c r="B19" s="2774"/>
      <c r="C19" s="2774"/>
      <c r="D19" s="2774"/>
      <c r="E19" s="2774"/>
      <c r="I19" s="95"/>
    </row>
    <row r="20" spans="1:27" ht="15" customHeight="1" thickBot="1" x14ac:dyDescent="0.45">
      <c r="A20" s="2824" t="s">
        <v>429</v>
      </c>
      <c r="B20" s="2824"/>
      <c r="C20" s="2824"/>
      <c r="D20" s="2824"/>
      <c r="E20" s="2824"/>
      <c r="I20" s="95"/>
      <c r="P20" s="90">
        <v>2547544045</v>
      </c>
      <c r="Q20" s="90">
        <v>2464673387</v>
      </c>
      <c r="R20" s="90">
        <v>2325272934</v>
      </c>
      <c r="S20" s="90">
        <v>2266096103</v>
      </c>
      <c r="T20" s="90">
        <v>2192064463</v>
      </c>
      <c r="U20" s="90">
        <v>2305147916</v>
      </c>
      <c r="V20" s="90">
        <v>2503228683</v>
      </c>
      <c r="W20" s="90">
        <v>2396479190</v>
      </c>
      <c r="X20" s="90">
        <v>2374746128</v>
      </c>
      <c r="Y20" s="90">
        <v>2468470400</v>
      </c>
      <c r="Z20" s="90">
        <v>2455262562</v>
      </c>
      <c r="AA20" s="90">
        <v>2433830070</v>
      </c>
    </row>
    <row r="21" spans="1:27" ht="20.25" customHeight="1" x14ac:dyDescent="0.4">
      <c r="A21" s="2796" t="s">
        <v>118</v>
      </c>
      <c r="B21" s="2798" t="s">
        <v>38</v>
      </c>
      <c r="C21" s="2799"/>
      <c r="D21" s="2800" t="s">
        <v>442</v>
      </c>
      <c r="E21" s="2802" t="s">
        <v>406</v>
      </c>
      <c r="M21" s="95" t="s">
        <v>1918</v>
      </c>
      <c r="N21" s="95" t="s">
        <v>1916</v>
      </c>
      <c r="O21" s="95" t="s">
        <v>1915</v>
      </c>
      <c r="P21" s="90" t="s">
        <v>1917</v>
      </c>
    </row>
    <row r="22" spans="1:27" ht="20.25" customHeight="1" thickBot="1" x14ac:dyDescent="0.45">
      <c r="A22" s="2797"/>
      <c r="B22" s="396">
        <v>1402</v>
      </c>
      <c r="C22" s="396">
        <v>1403</v>
      </c>
      <c r="D22" s="2801"/>
      <c r="E22" s="2803"/>
      <c r="M22" s="95">
        <f>SUM(N22:O22)</f>
        <v>3857589.5159999998</v>
      </c>
      <c r="N22" s="95">
        <v>1310045.4710000001</v>
      </c>
      <c r="O22" s="95">
        <f>+P22/1000</f>
        <v>2547544.0449999999</v>
      </c>
      <c r="P22" s="90">
        <v>2547544045</v>
      </c>
      <c r="Q22" s="242" t="s">
        <v>158</v>
      </c>
    </row>
    <row r="23" spans="1:27" ht="16.5" customHeight="1" x14ac:dyDescent="0.45">
      <c r="A23" s="242" t="s">
        <v>158</v>
      </c>
      <c r="B23" s="1753">
        <v>4010018.0670000003</v>
      </c>
      <c r="C23" s="1750">
        <v>3857589.5159999998</v>
      </c>
      <c r="D23" s="445">
        <f t="shared" ref="D23:D34" si="0">C23-B23</f>
        <v>-152428.55100000044</v>
      </c>
      <c r="E23" s="628">
        <f t="shared" ref="E23:E34" si="1">D23/B23</f>
        <v>-3.8011936219039595E-2</v>
      </c>
      <c r="H23" s="95"/>
      <c r="I23" s="95"/>
      <c r="M23" s="95">
        <f t="shared" ref="M23:M34" si="2">SUM(N23:O23)</f>
        <v>3821100.8703290531</v>
      </c>
      <c r="N23" s="95">
        <v>1356427.483329053</v>
      </c>
      <c r="O23" s="95">
        <f t="shared" ref="O23:O33" si="3">+P23/1000</f>
        <v>2464673.3870000001</v>
      </c>
      <c r="P23" s="90">
        <v>2464673387</v>
      </c>
      <c r="Q23" s="242" t="s">
        <v>159</v>
      </c>
    </row>
    <row r="24" spans="1:27" ht="16.5" customHeight="1" x14ac:dyDescent="0.45">
      <c r="A24" s="242" t="s">
        <v>159</v>
      </c>
      <c r="B24" s="1754">
        <v>4001557.6749999998</v>
      </c>
      <c r="C24" s="1750">
        <v>3821100.8703290522</v>
      </c>
      <c r="D24" s="445">
        <f t="shared" si="0"/>
        <v>-180456.8046709476</v>
      </c>
      <c r="E24" s="628">
        <f t="shared" si="1"/>
        <v>-4.5096639690679362E-2</v>
      </c>
      <c r="H24" s="95"/>
      <c r="I24" s="95"/>
      <c r="M24" s="95">
        <f t="shared" si="2"/>
        <v>3666733.1342869131</v>
      </c>
      <c r="N24" s="95">
        <v>1341460.200286913</v>
      </c>
      <c r="O24" s="95">
        <f t="shared" si="3"/>
        <v>2325272.9339999999</v>
      </c>
      <c r="P24" s="90">
        <v>2325272934</v>
      </c>
      <c r="Q24" s="242" t="s">
        <v>160</v>
      </c>
    </row>
    <row r="25" spans="1:27" ht="16.5" customHeight="1" x14ac:dyDescent="0.45">
      <c r="A25" s="242" t="s">
        <v>160</v>
      </c>
      <c r="B25" s="1754">
        <v>4059266.7809999995</v>
      </c>
      <c r="C25" s="1750">
        <v>3666733.1342869112</v>
      </c>
      <c r="D25" s="445">
        <f t="shared" si="0"/>
        <v>-392533.64671308827</v>
      </c>
      <c r="E25" s="628">
        <f t="shared" si="1"/>
        <v>-9.6700627943548875E-2</v>
      </c>
      <c r="H25" s="95"/>
      <c r="I25" s="95"/>
      <c r="M25" s="95">
        <f t="shared" si="2"/>
        <v>3603173.6503769457</v>
      </c>
      <c r="N25" s="95">
        <v>1337077.5473769456</v>
      </c>
      <c r="O25" s="95">
        <f t="shared" si="3"/>
        <v>2266096.1030000001</v>
      </c>
      <c r="P25" s="90">
        <v>2266096103</v>
      </c>
      <c r="Q25" s="242" t="s">
        <v>161</v>
      </c>
    </row>
    <row r="26" spans="1:27" ht="16.5" customHeight="1" x14ac:dyDescent="0.45">
      <c r="A26" s="242" t="s">
        <v>161</v>
      </c>
      <c r="B26" s="1754">
        <v>3656207.233</v>
      </c>
      <c r="C26" s="1750">
        <v>3603173.6503769439</v>
      </c>
      <c r="D26" s="445">
        <f t="shared" si="0"/>
        <v>-53033.582623056136</v>
      </c>
      <c r="E26" s="628">
        <f t="shared" si="1"/>
        <v>-1.4505081151962191E-2</v>
      </c>
      <c r="H26" s="95"/>
      <c r="I26" s="95"/>
      <c r="M26" s="95">
        <f t="shared" si="2"/>
        <v>3502604.8732869131</v>
      </c>
      <c r="N26" s="95">
        <v>1310540.4102869132</v>
      </c>
      <c r="O26" s="95">
        <f t="shared" si="3"/>
        <v>2192064.463</v>
      </c>
      <c r="P26" s="90">
        <v>2192064463</v>
      </c>
      <c r="Q26" s="242" t="s">
        <v>162</v>
      </c>
    </row>
    <row r="27" spans="1:27" ht="16.5" customHeight="1" x14ac:dyDescent="0.45">
      <c r="A27" s="242" t="s">
        <v>162</v>
      </c>
      <c r="B27" s="1754">
        <v>3728240.6710000001</v>
      </c>
      <c r="C27" s="1750">
        <v>3502604.8732869113</v>
      </c>
      <c r="D27" s="445">
        <f t="shared" si="0"/>
        <v>-225635.7977130888</v>
      </c>
      <c r="E27" s="628">
        <f t="shared" si="1"/>
        <v>-6.0520716773514539E-2</v>
      </c>
      <c r="H27" s="95"/>
      <c r="I27" s="95"/>
      <c r="M27" s="95">
        <f t="shared" si="2"/>
        <v>3630320.116646539</v>
      </c>
      <c r="N27" s="95">
        <v>1325172.2006465388</v>
      </c>
      <c r="O27" s="95">
        <f t="shared" si="3"/>
        <v>2305147.9160000002</v>
      </c>
      <c r="P27" s="90">
        <v>2305147916</v>
      </c>
      <c r="Q27" s="242" t="s">
        <v>163</v>
      </c>
    </row>
    <row r="28" spans="1:27" ht="16.5" customHeight="1" x14ac:dyDescent="0.45">
      <c r="A28" s="242" t="s">
        <v>163</v>
      </c>
      <c r="B28" s="1754">
        <v>3979489.37</v>
      </c>
      <c r="C28" s="1750">
        <v>3630320.1166465385</v>
      </c>
      <c r="D28" s="445">
        <f t="shared" si="0"/>
        <v>-349169.25335346162</v>
      </c>
      <c r="E28" s="628">
        <f t="shared" si="1"/>
        <v>-8.7742225418599773E-2</v>
      </c>
      <c r="H28" s="95"/>
      <c r="I28" s="95"/>
      <c r="M28" s="95">
        <f t="shared" si="2"/>
        <v>3782766.9995630402</v>
      </c>
      <c r="N28" s="95">
        <v>1279538.31656304</v>
      </c>
      <c r="O28" s="95">
        <f t="shared" si="3"/>
        <v>2503228.6830000002</v>
      </c>
      <c r="P28" s="90">
        <v>2503228683</v>
      </c>
      <c r="Q28" s="242" t="s">
        <v>164</v>
      </c>
    </row>
    <row r="29" spans="1:27" ht="16.5" customHeight="1" x14ac:dyDescent="0.45">
      <c r="A29" s="242" t="s">
        <v>164</v>
      </c>
      <c r="B29" s="1754">
        <v>3942037.159</v>
      </c>
      <c r="C29" s="1750">
        <v>3782766.9995630393</v>
      </c>
      <c r="D29" s="445">
        <f t="shared" si="0"/>
        <v>-159270.1594369607</v>
      </c>
      <c r="E29" s="628">
        <f t="shared" si="1"/>
        <v>-4.0403008143475673E-2</v>
      </c>
      <c r="H29" s="95"/>
      <c r="I29" s="95"/>
      <c r="M29" s="95">
        <f t="shared" si="2"/>
        <v>3664936.8999226661</v>
      </c>
      <c r="N29" s="95">
        <v>1268457.7099226664</v>
      </c>
      <c r="O29" s="95">
        <f t="shared" si="3"/>
        <v>2396479.19</v>
      </c>
      <c r="P29" s="90">
        <v>2396479190</v>
      </c>
      <c r="Q29" s="242" t="s">
        <v>520</v>
      </c>
    </row>
    <row r="30" spans="1:27" ht="16.5" customHeight="1" x14ac:dyDescent="0.45">
      <c r="A30" s="242" t="s">
        <v>520</v>
      </c>
      <c r="B30" s="1754">
        <v>3905639.7169999997</v>
      </c>
      <c r="C30" s="1750">
        <v>3664936.8999226661</v>
      </c>
      <c r="D30" s="445">
        <f t="shared" si="0"/>
        <v>-240702.81707733357</v>
      </c>
      <c r="E30" s="628">
        <f t="shared" si="1"/>
        <v>-6.1629549707217297E-2</v>
      </c>
      <c r="H30" s="95"/>
      <c r="I30" s="95"/>
      <c r="M30" s="95">
        <f t="shared" si="2"/>
        <v>3622569.5168326339</v>
      </c>
      <c r="N30" s="95">
        <v>1247823.3888326341</v>
      </c>
      <c r="O30" s="95">
        <f t="shared" si="3"/>
        <v>2374746.128</v>
      </c>
      <c r="P30" s="90">
        <v>2374746128</v>
      </c>
      <c r="Q30" s="242" t="s">
        <v>166</v>
      </c>
    </row>
    <row r="31" spans="1:27" ht="16.5" customHeight="1" x14ac:dyDescent="0.45">
      <c r="A31" s="242" t="s">
        <v>166</v>
      </c>
      <c r="B31" s="1754">
        <v>3676039.3449999997</v>
      </c>
      <c r="C31" s="1750">
        <v>3622569.5168326339</v>
      </c>
      <c r="D31" s="445">
        <f t="shared" si="0"/>
        <v>-53469.828167365864</v>
      </c>
      <c r="E31" s="628">
        <f t="shared" si="1"/>
        <v>-1.454549942184198E-2</v>
      </c>
      <c r="H31" s="95"/>
      <c r="I31" s="95"/>
      <c r="M31" s="95">
        <f t="shared" si="2"/>
        <v>3639056.2529226667</v>
      </c>
      <c r="N31" s="95">
        <v>1170585.8529226668</v>
      </c>
      <c r="O31" s="95">
        <f t="shared" si="3"/>
        <v>2468470.4</v>
      </c>
      <c r="P31" s="90">
        <v>2468470400</v>
      </c>
      <c r="Q31" s="242" t="s">
        <v>521</v>
      </c>
    </row>
    <row r="32" spans="1:27" ht="16.5" customHeight="1" x14ac:dyDescent="0.45">
      <c r="A32" s="242" t="s">
        <v>521</v>
      </c>
      <c r="B32" s="1754">
        <v>3553160.8870000001</v>
      </c>
      <c r="C32" s="1750">
        <v>3639056.2529226663</v>
      </c>
      <c r="D32" s="445">
        <f t="shared" si="0"/>
        <v>85895.365922666155</v>
      </c>
      <c r="E32" s="628">
        <f t="shared" si="1"/>
        <v>2.4174353105408972E-2</v>
      </c>
      <c r="H32" s="95"/>
      <c r="I32" s="95"/>
      <c r="M32" s="95">
        <f t="shared" si="2"/>
        <v>3750060.6718326341</v>
      </c>
      <c r="N32" s="95">
        <v>1294798.1098326345</v>
      </c>
      <c r="O32" s="95">
        <f t="shared" si="3"/>
        <v>2455262.5619999999</v>
      </c>
      <c r="P32" s="90">
        <v>2455262562</v>
      </c>
      <c r="Q32" s="242" t="s">
        <v>168</v>
      </c>
    </row>
    <row r="33" spans="1:25" ht="16.5" customHeight="1" x14ac:dyDescent="0.45">
      <c r="A33" s="242" t="s">
        <v>168</v>
      </c>
      <c r="B33" s="1754">
        <v>3733077.4309999999</v>
      </c>
      <c r="C33" s="1750">
        <v>3750060.6718326337</v>
      </c>
      <c r="D33" s="445">
        <f t="shared" si="0"/>
        <v>16983.240832633805</v>
      </c>
      <c r="E33" s="628">
        <f t="shared" si="1"/>
        <v>4.549394205328447E-3</v>
      </c>
      <c r="H33" s="95"/>
      <c r="I33" s="95"/>
      <c r="M33" s="95">
        <f t="shared" si="2"/>
        <v>3550423.6739999996</v>
      </c>
      <c r="N33" s="95">
        <v>1116593.6039999998</v>
      </c>
      <c r="O33" s="95">
        <f t="shared" si="3"/>
        <v>2433830.0699999998</v>
      </c>
      <c r="P33" s="90">
        <v>2433830070</v>
      </c>
      <c r="Q33" s="242" t="s">
        <v>169</v>
      </c>
    </row>
    <row r="34" spans="1:25" ht="16.5" customHeight="1" x14ac:dyDescent="0.45">
      <c r="A34" s="242" t="s">
        <v>169</v>
      </c>
      <c r="B34" s="1754">
        <v>3484968.4810000006</v>
      </c>
      <c r="C34" s="1750">
        <v>3550423.6739999996</v>
      </c>
      <c r="D34" s="445">
        <f t="shared" si="0"/>
        <v>65455.192999999039</v>
      </c>
      <c r="E34" s="628">
        <f t="shared" si="1"/>
        <v>1.8782147774609681E-2</v>
      </c>
      <c r="H34" s="95"/>
      <c r="I34" s="95"/>
      <c r="M34" s="95">
        <f t="shared" si="2"/>
        <v>44091336.175999999</v>
      </c>
      <c r="N34" s="95">
        <f>SUM(N22:N33)</f>
        <v>15358520.295000006</v>
      </c>
      <c r="O34" s="95">
        <f>SUM(O22:O33)</f>
        <v>28732815.880999997</v>
      </c>
    </row>
    <row r="35" spans="1:25" ht="4.5" customHeight="1" x14ac:dyDescent="0.4">
      <c r="A35" s="242"/>
      <c r="B35" s="1754"/>
      <c r="C35" s="1751"/>
      <c r="D35" s="445"/>
      <c r="E35" s="629"/>
      <c r="G35" s="95"/>
    </row>
    <row r="36" spans="1:25" ht="20.25" customHeight="1" thickBot="1" x14ac:dyDescent="0.45">
      <c r="A36" s="630" t="s">
        <v>569</v>
      </c>
      <c r="B36" s="1755">
        <f>AVERAGE(B23:B34)</f>
        <v>3810808.5680833333</v>
      </c>
      <c r="C36" s="1752">
        <f>AVERAGE(C23:C34)</f>
        <v>3674278.0146666667</v>
      </c>
      <c r="D36" s="631">
        <f>C36-B36</f>
        <v>-136530.55341666657</v>
      </c>
      <c r="E36" s="632" t="s">
        <v>25</v>
      </c>
      <c r="H36" s="95"/>
      <c r="I36" s="95"/>
    </row>
    <row r="37" spans="1:25" ht="21" customHeight="1" thickBot="1" x14ac:dyDescent="0.45">
      <c r="A37" s="232" t="s">
        <v>170</v>
      </c>
      <c r="B37" s="447">
        <f>SUM(B23:B34)</f>
        <v>45729702.817000002</v>
      </c>
      <c r="C37" s="447">
        <f>SUM(C23:C34)</f>
        <v>44091336.175999999</v>
      </c>
      <c r="D37" s="448">
        <f>C37-B37</f>
        <v>-1638366.6410000026</v>
      </c>
      <c r="E37" s="633">
        <f>D37/B37</f>
        <v>-3.5827187584322989E-2</v>
      </c>
      <c r="H37" s="95"/>
      <c r="I37" s="96"/>
    </row>
    <row r="38" spans="1:25" ht="8.25" customHeight="1" x14ac:dyDescent="0.4">
      <c r="J38" s="95"/>
    </row>
    <row r="39" spans="1:25" x14ac:dyDescent="0.4">
      <c r="A39" s="2806" t="s">
        <v>570</v>
      </c>
      <c r="B39" s="2806"/>
      <c r="C39" s="2806"/>
      <c r="D39" s="2806"/>
      <c r="E39" s="2806"/>
      <c r="J39" s="95"/>
    </row>
    <row r="40" spans="1:25" x14ac:dyDescent="0.4">
      <c r="C40" s="634"/>
      <c r="D40" s="634"/>
      <c r="E40" s="634"/>
      <c r="J40" s="95"/>
    </row>
    <row r="41" spans="1:25" x14ac:dyDescent="0.4">
      <c r="C41" s="634"/>
      <c r="D41" s="634"/>
      <c r="E41" s="634"/>
      <c r="J41" s="95"/>
    </row>
    <row r="42" spans="1:25" x14ac:dyDescent="0.4">
      <c r="C42" s="634"/>
      <c r="D42" s="634"/>
      <c r="E42" s="634"/>
      <c r="J42" s="95"/>
      <c r="N42" s="90">
        <v>2547544045</v>
      </c>
      <c r="O42" s="90">
        <v>2464673387</v>
      </c>
      <c r="P42" s="90">
        <v>2325272934</v>
      </c>
      <c r="Q42" s="90">
        <v>2266096103</v>
      </c>
      <c r="R42" s="90">
        <v>2192064463</v>
      </c>
      <c r="S42" s="90">
        <v>2305147916</v>
      </c>
      <c r="T42" s="90">
        <v>2503228683</v>
      </c>
      <c r="U42" s="90">
        <v>2396479190</v>
      </c>
      <c r="V42" s="90">
        <v>2374746128</v>
      </c>
      <c r="W42" s="90">
        <v>2468470400</v>
      </c>
      <c r="X42" s="90">
        <v>2455262562</v>
      </c>
      <c r="Y42" s="90">
        <v>2433830070</v>
      </c>
    </row>
    <row r="43" spans="1:25" ht="18.75" x14ac:dyDescent="0.45">
      <c r="C43" s="634"/>
      <c r="D43" s="634"/>
      <c r="E43" s="634"/>
      <c r="K43" s="95"/>
      <c r="N43" s="635"/>
    </row>
    <row r="44" spans="1:25" ht="18.75" x14ac:dyDescent="0.45">
      <c r="K44" s="95"/>
      <c r="N44" s="635"/>
    </row>
    <row r="45" spans="1:25" ht="18.75" x14ac:dyDescent="0.45">
      <c r="K45" s="95"/>
      <c r="N45" s="635"/>
    </row>
    <row r="46" spans="1:25" ht="18.75" x14ac:dyDescent="0.45">
      <c r="K46" s="95"/>
      <c r="N46" s="635"/>
    </row>
    <row r="47" spans="1:25" ht="18.75" x14ac:dyDescent="0.45">
      <c r="D47" s="95"/>
      <c r="F47" s="95"/>
      <c r="K47" s="95"/>
      <c r="N47" s="635"/>
    </row>
    <row r="48" spans="1:25" ht="18.75" x14ac:dyDescent="0.45">
      <c r="D48" s="95"/>
      <c r="F48" s="95"/>
      <c r="K48" s="95"/>
      <c r="N48" s="635"/>
    </row>
    <row r="49" spans="4:14" ht="18.75" x14ac:dyDescent="0.45">
      <c r="D49" s="95"/>
      <c r="F49" s="95"/>
      <c r="K49" s="95"/>
      <c r="N49" s="635"/>
    </row>
    <row r="50" spans="4:14" ht="18.75" x14ac:dyDescent="0.45">
      <c r="D50" s="95"/>
      <c r="F50" s="95"/>
      <c r="N50" s="635"/>
    </row>
    <row r="51" spans="4:14" ht="18.75" x14ac:dyDescent="0.45">
      <c r="D51" s="95"/>
      <c r="F51" s="95"/>
      <c r="N51" s="635"/>
    </row>
    <row r="52" spans="4:14" ht="18.75" x14ac:dyDescent="0.45">
      <c r="D52" s="95"/>
      <c r="F52" s="95"/>
      <c r="N52" s="635"/>
    </row>
    <row r="53" spans="4:14" ht="18.75" x14ac:dyDescent="0.45">
      <c r="D53" s="95"/>
      <c r="F53" s="95"/>
      <c r="N53" s="635"/>
    </row>
    <row r="54" spans="4:14" ht="18.75" x14ac:dyDescent="0.45">
      <c r="D54" s="95"/>
      <c r="F54" s="95"/>
      <c r="N54" s="635"/>
    </row>
    <row r="55" spans="4:14" ht="18.75" x14ac:dyDescent="0.4">
      <c r="D55" s="95"/>
      <c r="F55" s="95"/>
      <c r="N55" s="636"/>
    </row>
    <row r="56" spans="4:14" x14ac:dyDescent="0.4">
      <c r="D56" s="95"/>
      <c r="F56" s="95"/>
    </row>
    <row r="57" spans="4:14" x14ac:dyDescent="0.4">
      <c r="D57" s="95"/>
      <c r="F57" s="95"/>
    </row>
    <row r="58" spans="4:14" x14ac:dyDescent="0.4">
      <c r="D58" s="95"/>
      <c r="F58" s="95"/>
    </row>
    <row r="59" spans="4:14" x14ac:dyDescent="0.4">
      <c r="F59" s="95"/>
    </row>
  </sheetData>
  <mergeCells count="7">
    <mergeCell ref="A39:E39"/>
    <mergeCell ref="A19:E19"/>
    <mergeCell ref="A20:E20"/>
    <mergeCell ref="A21:A22"/>
    <mergeCell ref="B21:C21"/>
    <mergeCell ref="D21:D22"/>
    <mergeCell ref="E21:E22"/>
  </mergeCells>
  <printOptions horizontalCentered="1" verticalCentered="1"/>
  <pageMargins left="0.62992125984251968" right="0.70866141732283472" top="0.51181102362204722" bottom="1.1417322834645669" header="0.27559055118110237" footer="1.1811023622047245"/>
  <pageSetup paperSize="9" scale="110" firstPageNumber="55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A40"/>
  <sheetViews>
    <sheetView rightToLeft="1" zoomScale="110" zoomScaleNormal="110" workbookViewId="0">
      <selection activeCell="C20" sqref="C20"/>
    </sheetView>
  </sheetViews>
  <sheetFormatPr defaultColWidth="9" defaultRowHeight="18" x14ac:dyDescent="0.5"/>
  <cols>
    <col min="1" max="16384" width="9" style="22"/>
  </cols>
  <sheetData>
    <row r="1" ht="17.25" customHeight="1" x14ac:dyDescent="0.5"/>
    <row r="2" ht="17.25" customHeight="1" x14ac:dyDescent="0.5"/>
    <row r="3" ht="17.25" customHeight="1" x14ac:dyDescent="0.5"/>
    <row r="4" ht="17.25" customHeight="1" x14ac:dyDescent="0.5"/>
    <row r="5" ht="17.25" customHeight="1" x14ac:dyDescent="0.5"/>
    <row r="6" ht="17.25" customHeight="1" x14ac:dyDescent="0.5"/>
    <row r="7" ht="17.25" customHeight="1" x14ac:dyDescent="0.5"/>
    <row r="8" ht="17.25" customHeight="1" x14ac:dyDescent="0.5"/>
    <row r="9" ht="17.25" customHeight="1" x14ac:dyDescent="0.5"/>
    <row r="10" ht="17.25" customHeight="1" x14ac:dyDescent="0.5"/>
    <row r="11" ht="17.25" customHeight="1" x14ac:dyDescent="0.5"/>
    <row r="12" ht="17.25" customHeight="1" x14ac:dyDescent="0.5"/>
    <row r="13" ht="17.25" customHeight="1" x14ac:dyDescent="0.5"/>
    <row r="14" ht="17.25" customHeight="1" x14ac:dyDescent="0.5"/>
    <row r="15" ht="17.25" customHeight="1" x14ac:dyDescent="0.5"/>
    <row r="16" ht="17.25" customHeight="1" x14ac:dyDescent="0.5"/>
    <row r="17" ht="17.25" customHeight="1" x14ac:dyDescent="0.5"/>
    <row r="18" ht="17.25" customHeight="1" x14ac:dyDescent="0.5"/>
    <row r="19" ht="17.25" customHeight="1" x14ac:dyDescent="0.5"/>
    <row r="20" ht="17.25" customHeight="1" x14ac:dyDescent="0.5"/>
    <row r="21" ht="17.25" customHeight="1" x14ac:dyDescent="0.5"/>
    <row r="22" ht="17.25" customHeight="1" x14ac:dyDescent="0.5"/>
    <row r="23" ht="17.25" customHeight="1" x14ac:dyDescent="0.5"/>
    <row r="24" ht="17.25" customHeight="1" x14ac:dyDescent="0.5"/>
    <row r="25" ht="17.25" customHeight="1" x14ac:dyDescent="0.5"/>
    <row r="26" ht="17.25" customHeight="1" x14ac:dyDescent="0.5"/>
    <row r="27" ht="17.25" customHeight="1" x14ac:dyDescent="0.5"/>
    <row r="28" ht="17.25" customHeight="1" x14ac:dyDescent="0.5"/>
    <row r="29" ht="17.25" customHeight="1" x14ac:dyDescent="0.5"/>
    <row r="30" ht="17.25" customHeight="1" x14ac:dyDescent="0.5"/>
    <row r="31" ht="17.25" customHeight="1" x14ac:dyDescent="0.5"/>
    <row r="32" ht="17.25" customHeight="1" x14ac:dyDescent="0.5"/>
    <row r="33" ht="17.25" customHeight="1" x14ac:dyDescent="0.5"/>
    <row r="34" ht="17.25" customHeight="1" x14ac:dyDescent="0.5"/>
    <row r="35" ht="17.25" customHeight="1" x14ac:dyDescent="0.5"/>
    <row r="36" ht="17.25" customHeight="1" x14ac:dyDescent="0.5"/>
    <row r="37" ht="17.25" customHeight="1" x14ac:dyDescent="0.5"/>
    <row r="38" ht="17.25" customHeight="1" x14ac:dyDescent="0.5"/>
    <row r="39" ht="17.25" customHeight="1" x14ac:dyDescent="0.5"/>
    <row r="40" ht="17.25" customHeight="1" x14ac:dyDescent="0.5"/>
  </sheetData>
  <printOptions horizontalCentered="1" verticalCentered="1"/>
  <pageMargins left="0.78740157480314965" right="0.78740157480314965" top="0.78740157480314965" bottom="0.78740157480314965" header="0" footer="0"/>
  <pageSetup paperSize="9" scale="90" firstPageNumber="56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</sheetPr>
  <dimension ref="A1:BH51"/>
  <sheetViews>
    <sheetView rightToLeft="1" zoomScale="80" zoomScaleNormal="80" workbookViewId="0">
      <selection activeCell="AM13" sqref="AM13"/>
    </sheetView>
  </sheetViews>
  <sheetFormatPr defaultRowHeight="15.75" x14ac:dyDescent="0.2"/>
  <cols>
    <col min="1" max="1" width="16.375" style="653" customWidth="1"/>
    <col min="2" max="2" width="17.625" style="653" customWidth="1"/>
    <col min="3" max="3" width="19.125" style="653" customWidth="1"/>
    <col min="4" max="4" width="16.125" style="653" customWidth="1"/>
    <col min="5" max="5" width="11" style="653" hidden="1" customWidth="1"/>
    <col min="6" max="6" width="11.125" style="653" hidden="1" customWidth="1"/>
    <col min="7" max="7" width="0.75" style="653" hidden="1" customWidth="1"/>
    <col min="8" max="8" width="14.375" style="653" hidden="1" customWidth="1"/>
    <col min="9" max="9" width="15.375" style="653" customWidth="1"/>
    <col min="10" max="10" width="18.375" style="653" customWidth="1"/>
    <col min="11" max="11" width="18" style="653" customWidth="1"/>
    <col min="12" max="12" width="15" style="653" customWidth="1"/>
    <col min="13" max="13" width="7.125" style="653" customWidth="1"/>
    <col min="14" max="17" width="4.375" style="653" hidden="1" customWidth="1"/>
    <col min="18" max="18" width="16.875" style="653" customWidth="1"/>
    <col min="19" max="19" width="9.125" style="653" bestFit="1" customWidth="1"/>
    <col min="20" max="20" width="10.625" style="653" customWidth="1"/>
    <col min="21" max="21" width="9.375" style="653" bestFit="1" customWidth="1"/>
    <col min="22" max="22" width="9.25" style="653" bestFit="1" customWidth="1"/>
    <col min="23" max="23" width="11.25" style="653" bestFit="1" customWidth="1"/>
    <col min="24" max="24" width="11.125" style="653" customWidth="1"/>
    <col min="25" max="27" width="14.25" style="653" bestFit="1" customWidth="1"/>
    <col min="28" max="29" width="10.25" style="653" customWidth="1"/>
    <col min="30" max="30" width="11.625" style="653" customWidth="1"/>
    <col min="31" max="31" width="10" style="653" customWidth="1"/>
    <col min="32" max="32" width="18.875" style="653" customWidth="1"/>
    <col min="33" max="33" width="12.625" style="653" customWidth="1"/>
    <col min="34" max="34" width="18" style="653" customWidth="1"/>
    <col min="35" max="35" width="7.125" style="653" bestFit="1" customWidth="1"/>
    <col min="36" max="37" width="9" style="653"/>
    <col min="38" max="38" width="7.125" style="653" bestFit="1" customWidth="1"/>
    <col min="39" max="41" width="9" style="653"/>
    <col min="42" max="44" width="9.75" style="653" bestFit="1" customWidth="1"/>
    <col min="45" max="45" width="8.375" style="653" bestFit="1" customWidth="1"/>
    <col min="46" max="53" width="9.75" style="653" bestFit="1" customWidth="1"/>
    <col min="54" max="238" width="9" style="653"/>
    <col min="239" max="239" width="9" style="653" customWidth="1"/>
    <col min="240" max="240" width="7" style="653" customWidth="1"/>
    <col min="241" max="242" width="8" style="653" customWidth="1"/>
    <col min="243" max="243" width="10.125" style="653" customWidth="1"/>
    <col min="244" max="244" width="9.625" style="653" customWidth="1"/>
    <col min="245" max="245" width="11.875" style="653" customWidth="1"/>
    <col min="246" max="246" width="12.75" style="653" customWidth="1"/>
    <col min="247" max="247" width="9.25" style="653" customWidth="1"/>
    <col min="248" max="248" width="9.625" style="653" customWidth="1"/>
    <col min="249" max="249" width="7.75" style="653" customWidth="1"/>
    <col min="250" max="250" width="8.375" style="653" customWidth="1"/>
    <col min="251" max="251" width="5.875" style="653" customWidth="1"/>
    <col min="252" max="252" width="8.875" style="653" customWidth="1"/>
    <col min="253" max="253" width="9.25" style="653" customWidth="1"/>
    <col min="254" max="254" width="11.125" style="653" customWidth="1"/>
    <col min="255" max="255" width="11.875" style="653" customWidth="1"/>
    <col min="256" max="256" width="8.75" style="653" customWidth="1"/>
    <col min="257" max="257" width="10.25" style="653" customWidth="1"/>
    <col min="258" max="258" width="7" style="653" customWidth="1"/>
    <col min="259" max="259" width="8" style="653" customWidth="1"/>
    <col min="260" max="260" width="7.875" style="653" customWidth="1"/>
    <col min="261" max="261" width="11.125" style="653" customWidth="1"/>
    <col min="262" max="262" width="10.125" style="653" customWidth="1"/>
    <col min="263" max="263" width="11.875" style="653" customWidth="1"/>
    <col min="264" max="264" width="11.75" style="653" customWidth="1"/>
    <col min="265" max="265" width="9.75" style="653" customWidth="1"/>
    <col min="266" max="266" width="10.375" style="653" customWidth="1"/>
    <col min="267" max="268" width="7" style="653" customWidth="1"/>
    <col min="269" max="269" width="8.125" style="653" customWidth="1"/>
    <col min="270" max="270" width="10" style="653" customWidth="1"/>
    <col min="271" max="271" width="9.375" style="653" customWidth="1"/>
    <col min="272" max="272" width="10.375" style="653" customWidth="1"/>
    <col min="273" max="273" width="10.75" style="653" customWidth="1"/>
    <col min="274" max="274" width="9.75" style="653" customWidth="1"/>
    <col min="275" max="275" width="10.75" style="653" customWidth="1"/>
    <col min="276" max="276" width="7" style="653" customWidth="1"/>
    <col min="277" max="278" width="8.25" style="653" customWidth="1"/>
    <col min="279" max="280" width="10" style="653" customWidth="1"/>
    <col min="281" max="282" width="10.75" style="653" customWidth="1"/>
    <col min="283" max="283" width="9.75" style="653" customWidth="1"/>
    <col min="284" max="284" width="7" style="653" customWidth="1"/>
    <col min="285" max="285" width="10.25" style="653" customWidth="1"/>
    <col min="286" max="288" width="7" style="653" customWidth="1"/>
    <col min="289" max="289" width="11.75" style="653" bestFit="1" customWidth="1"/>
    <col min="290" max="290" width="16.25" style="653" customWidth="1"/>
    <col min="291" max="291" width="7.125" style="653" bestFit="1" customWidth="1"/>
    <col min="292" max="293" width="9" style="653"/>
    <col min="294" max="294" width="7.125" style="653" bestFit="1" customWidth="1"/>
    <col min="295" max="297" width="9" style="653"/>
    <col min="298" max="300" width="9.75" style="653" bestFit="1" customWidth="1"/>
    <col min="301" max="301" width="8.375" style="653" bestFit="1" customWidth="1"/>
    <col min="302" max="309" width="9.75" style="653" bestFit="1" customWidth="1"/>
    <col min="310" max="494" width="9" style="653"/>
    <col min="495" max="495" width="9" style="653" customWidth="1"/>
    <col min="496" max="496" width="7" style="653" customWidth="1"/>
    <col min="497" max="498" width="8" style="653" customWidth="1"/>
    <col min="499" max="499" width="10.125" style="653" customWidth="1"/>
    <col min="500" max="500" width="9.625" style="653" customWidth="1"/>
    <col min="501" max="501" width="11.875" style="653" customWidth="1"/>
    <col min="502" max="502" width="12.75" style="653" customWidth="1"/>
    <col min="503" max="503" width="9.25" style="653" customWidth="1"/>
    <col min="504" max="504" width="9.625" style="653" customWidth="1"/>
    <col min="505" max="505" width="7.75" style="653" customWidth="1"/>
    <col min="506" max="506" width="8.375" style="653" customWidth="1"/>
    <col min="507" max="507" width="5.875" style="653" customWidth="1"/>
    <col min="508" max="508" width="8.875" style="653" customWidth="1"/>
    <col min="509" max="509" width="9.25" style="653" customWidth="1"/>
    <col min="510" max="510" width="11.125" style="653" customWidth="1"/>
    <col min="511" max="511" width="11.875" style="653" customWidth="1"/>
    <col min="512" max="512" width="8.75" style="653" customWidth="1"/>
    <col min="513" max="513" width="10.25" style="653" customWidth="1"/>
    <col min="514" max="514" width="7" style="653" customWidth="1"/>
    <col min="515" max="515" width="8" style="653" customWidth="1"/>
    <col min="516" max="516" width="7.875" style="653" customWidth="1"/>
    <col min="517" max="517" width="11.125" style="653" customWidth="1"/>
    <col min="518" max="518" width="10.125" style="653" customWidth="1"/>
    <col min="519" max="519" width="11.875" style="653" customWidth="1"/>
    <col min="520" max="520" width="11.75" style="653" customWidth="1"/>
    <col min="521" max="521" width="9.75" style="653" customWidth="1"/>
    <col min="522" max="522" width="10.375" style="653" customWidth="1"/>
    <col min="523" max="524" width="7" style="653" customWidth="1"/>
    <col min="525" max="525" width="8.125" style="653" customWidth="1"/>
    <col min="526" max="526" width="10" style="653" customWidth="1"/>
    <col min="527" max="527" width="9.375" style="653" customWidth="1"/>
    <col min="528" max="528" width="10.375" style="653" customWidth="1"/>
    <col min="529" max="529" width="10.75" style="653" customWidth="1"/>
    <col min="530" max="530" width="9.75" style="653" customWidth="1"/>
    <col min="531" max="531" width="10.75" style="653" customWidth="1"/>
    <col min="532" max="532" width="7" style="653" customWidth="1"/>
    <col min="533" max="534" width="8.25" style="653" customWidth="1"/>
    <col min="535" max="536" width="10" style="653" customWidth="1"/>
    <col min="537" max="538" width="10.75" style="653" customWidth="1"/>
    <col min="539" max="539" width="9.75" style="653" customWidth="1"/>
    <col min="540" max="540" width="7" style="653" customWidth="1"/>
    <col min="541" max="541" width="10.25" style="653" customWidth="1"/>
    <col min="542" max="544" width="7" style="653" customWidth="1"/>
    <col min="545" max="545" width="11.75" style="653" bestFit="1" customWidth="1"/>
    <col min="546" max="546" width="16.25" style="653" customWidth="1"/>
    <col min="547" max="547" width="7.125" style="653" bestFit="1" customWidth="1"/>
    <col min="548" max="549" width="9" style="653"/>
    <col min="550" max="550" width="7.125" style="653" bestFit="1" customWidth="1"/>
    <col min="551" max="553" width="9" style="653"/>
    <col min="554" max="556" width="9.75" style="653" bestFit="1" customWidth="1"/>
    <col min="557" max="557" width="8.375" style="653" bestFit="1" customWidth="1"/>
    <col min="558" max="565" width="9.75" style="653" bestFit="1" customWidth="1"/>
    <col min="566" max="750" width="9" style="653"/>
    <col min="751" max="751" width="9" style="653" customWidth="1"/>
    <col min="752" max="752" width="7" style="653" customWidth="1"/>
    <col min="753" max="754" width="8" style="653" customWidth="1"/>
    <col min="755" max="755" width="10.125" style="653" customWidth="1"/>
    <col min="756" max="756" width="9.625" style="653" customWidth="1"/>
    <col min="757" max="757" width="11.875" style="653" customWidth="1"/>
    <col min="758" max="758" width="12.75" style="653" customWidth="1"/>
    <col min="759" max="759" width="9.25" style="653" customWidth="1"/>
    <col min="760" max="760" width="9.625" style="653" customWidth="1"/>
    <col min="761" max="761" width="7.75" style="653" customWidth="1"/>
    <col min="762" max="762" width="8.375" style="653" customWidth="1"/>
    <col min="763" max="763" width="5.875" style="653" customWidth="1"/>
    <col min="764" max="764" width="8.875" style="653" customWidth="1"/>
    <col min="765" max="765" width="9.25" style="653" customWidth="1"/>
    <col min="766" max="766" width="11.125" style="653" customWidth="1"/>
    <col min="767" max="767" width="11.875" style="653" customWidth="1"/>
    <col min="768" max="768" width="8.75" style="653" customWidth="1"/>
    <col min="769" max="769" width="10.25" style="653" customWidth="1"/>
    <col min="770" max="770" width="7" style="653" customWidth="1"/>
    <col min="771" max="771" width="8" style="653" customWidth="1"/>
    <col min="772" max="772" width="7.875" style="653" customWidth="1"/>
    <col min="773" max="773" width="11.125" style="653" customWidth="1"/>
    <col min="774" max="774" width="10.125" style="653" customWidth="1"/>
    <col min="775" max="775" width="11.875" style="653" customWidth="1"/>
    <col min="776" max="776" width="11.75" style="653" customWidth="1"/>
    <col min="777" max="777" width="9.75" style="653" customWidth="1"/>
    <col min="778" max="778" width="10.375" style="653" customWidth="1"/>
    <col min="779" max="780" width="7" style="653" customWidth="1"/>
    <col min="781" max="781" width="8.125" style="653" customWidth="1"/>
    <col min="782" max="782" width="10" style="653" customWidth="1"/>
    <col min="783" max="783" width="9.375" style="653" customWidth="1"/>
    <col min="784" max="784" width="10.375" style="653" customWidth="1"/>
    <col min="785" max="785" width="10.75" style="653" customWidth="1"/>
    <col min="786" max="786" width="9.75" style="653" customWidth="1"/>
    <col min="787" max="787" width="10.75" style="653" customWidth="1"/>
    <col min="788" max="788" width="7" style="653" customWidth="1"/>
    <col min="789" max="790" width="8.25" style="653" customWidth="1"/>
    <col min="791" max="792" width="10" style="653" customWidth="1"/>
    <col min="793" max="794" width="10.75" style="653" customWidth="1"/>
    <col min="795" max="795" width="9.75" style="653" customWidth="1"/>
    <col min="796" max="796" width="7" style="653" customWidth="1"/>
    <col min="797" max="797" width="10.25" style="653" customWidth="1"/>
    <col min="798" max="800" width="7" style="653" customWidth="1"/>
    <col min="801" max="801" width="11.75" style="653" bestFit="1" customWidth="1"/>
    <col min="802" max="802" width="16.25" style="653" customWidth="1"/>
    <col min="803" max="803" width="7.125" style="653" bestFit="1" customWidth="1"/>
    <col min="804" max="805" width="9" style="653"/>
    <col min="806" max="806" width="7.125" style="653" bestFit="1" customWidth="1"/>
    <col min="807" max="809" width="9" style="653"/>
    <col min="810" max="812" width="9.75" style="653" bestFit="1" customWidth="1"/>
    <col min="813" max="813" width="8.375" style="653" bestFit="1" customWidth="1"/>
    <col min="814" max="821" width="9.75" style="653" bestFit="1" customWidth="1"/>
    <col min="822" max="1006" width="9" style="653"/>
    <col min="1007" max="1007" width="9" style="653" customWidth="1"/>
    <col min="1008" max="1008" width="7" style="653" customWidth="1"/>
    <col min="1009" max="1010" width="8" style="653" customWidth="1"/>
    <col min="1011" max="1011" width="10.125" style="653" customWidth="1"/>
    <col min="1012" max="1012" width="9.625" style="653" customWidth="1"/>
    <col min="1013" max="1013" width="11.875" style="653" customWidth="1"/>
    <col min="1014" max="1014" width="12.75" style="653" customWidth="1"/>
    <col min="1015" max="1015" width="9.25" style="653" customWidth="1"/>
    <col min="1016" max="1016" width="9.625" style="653" customWidth="1"/>
    <col min="1017" max="1017" width="7.75" style="653" customWidth="1"/>
    <col min="1018" max="1018" width="8.375" style="653" customWidth="1"/>
    <col min="1019" max="1019" width="5.875" style="653" customWidth="1"/>
    <col min="1020" max="1020" width="8.875" style="653" customWidth="1"/>
    <col min="1021" max="1021" width="9.25" style="653" customWidth="1"/>
    <col min="1022" max="1022" width="11.125" style="653" customWidth="1"/>
    <col min="1023" max="1023" width="11.875" style="653" customWidth="1"/>
    <col min="1024" max="1024" width="8.75" style="653" customWidth="1"/>
    <col min="1025" max="1025" width="10.25" style="653" customWidth="1"/>
    <col min="1026" max="1026" width="7" style="653" customWidth="1"/>
    <col min="1027" max="1027" width="8" style="653" customWidth="1"/>
    <col min="1028" max="1028" width="7.875" style="653" customWidth="1"/>
    <col min="1029" max="1029" width="11.125" style="653" customWidth="1"/>
    <col min="1030" max="1030" width="10.125" style="653" customWidth="1"/>
    <col min="1031" max="1031" width="11.875" style="653" customWidth="1"/>
    <col min="1032" max="1032" width="11.75" style="653" customWidth="1"/>
    <col min="1033" max="1033" width="9.75" style="653" customWidth="1"/>
    <col min="1034" max="1034" width="10.375" style="653" customWidth="1"/>
    <col min="1035" max="1036" width="7" style="653" customWidth="1"/>
    <col min="1037" max="1037" width="8.125" style="653" customWidth="1"/>
    <col min="1038" max="1038" width="10" style="653" customWidth="1"/>
    <col min="1039" max="1039" width="9.375" style="653" customWidth="1"/>
    <col min="1040" max="1040" width="10.375" style="653" customWidth="1"/>
    <col min="1041" max="1041" width="10.75" style="653" customWidth="1"/>
    <col min="1042" max="1042" width="9.75" style="653" customWidth="1"/>
    <col min="1043" max="1043" width="10.75" style="653" customWidth="1"/>
    <col min="1044" max="1044" width="7" style="653" customWidth="1"/>
    <col min="1045" max="1046" width="8.25" style="653" customWidth="1"/>
    <col min="1047" max="1048" width="10" style="653" customWidth="1"/>
    <col min="1049" max="1050" width="10.75" style="653" customWidth="1"/>
    <col min="1051" max="1051" width="9.75" style="653" customWidth="1"/>
    <col min="1052" max="1052" width="7" style="653" customWidth="1"/>
    <col min="1053" max="1053" width="10.25" style="653" customWidth="1"/>
    <col min="1054" max="1056" width="7" style="653" customWidth="1"/>
    <col min="1057" max="1057" width="11.75" style="653" bestFit="1" customWidth="1"/>
    <col min="1058" max="1058" width="16.25" style="653" customWidth="1"/>
    <col min="1059" max="1059" width="7.125" style="653" bestFit="1" customWidth="1"/>
    <col min="1060" max="1061" width="9" style="653"/>
    <col min="1062" max="1062" width="7.125" style="653" bestFit="1" customWidth="1"/>
    <col min="1063" max="1065" width="9" style="653"/>
    <col min="1066" max="1068" width="9.75" style="653" bestFit="1" customWidth="1"/>
    <col min="1069" max="1069" width="8.375" style="653" bestFit="1" customWidth="1"/>
    <col min="1070" max="1077" width="9.75" style="653" bestFit="1" customWidth="1"/>
    <col min="1078" max="1262" width="9" style="653"/>
    <col min="1263" max="1263" width="9" style="653" customWidth="1"/>
    <col min="1264" max="1264" width="7" style="653" customWidth="1"/>
    <col min="1265" max="1266" width="8" style="653" customWidth="1"/>
    <col min="1267" max="1267" width="10.125" style="653" customWidth="1"/>
    <col min="1268" max="1268" width="9.625" style="653" customWidth="1"/>
    <col min="1269" max="1269" width="11.875" style="653" customWidth="1"/>
    <col min="1270" max="1270" width="12.75" style="653" customWidth="1"/>
    <col min="1271" max="1271" width="9.25" style="653" customWidth="1"/>
    <col min="1272" max="1272" width="9.625" style="653" customWidth="1"/>
    <col min="1273" max="1273" width="7.75" style="653" customWidth="1"/>
    <col min="1274" max="1274" width="8.375" style="653" customWidth="1"/>
    <col min="1275" max="1275" width="5.875" style="653" customWidth="1"/>
    <col min="1276" max="1276" width="8.875" style="653" customWidth="1"/>
    <col min="1277" max="1277" width="9.25" style="653" customWidth="1"/>
    <col min="1278" max="1278" width="11.125" style="653" customWidth="1"/>
    <col min="1279" max="1279" width="11.875" style="653" customWidth="1"/>
    <col min="1280" max="1280" width="8.75" style="653" customWidth="1"/>
    <col min="1281" max="1281" width="10.25" style="653" customWidth="1"/>
    <col min="1282" max="1282" width="7" style="653" customWidth="1"/>
    <col min="1283" max="1283" width="8" style="653" customWidth="1"/>
    <col min="1284" max="1284" width="7.875" style="653" customWidth="1"/>
    <col min="1285" max="1285" width="11.125" style="653" customWidth="1"/>
    <col min="1286" max="1286" width="10.125" style="653" customWidth="1"/>
    <col min="1287" max="1287" width="11.875" style="653" customWidth="1"/>
    <col min="1288" max="1288" width="11.75" style="653" customWidth="1"/>
    <col min="1289" max="1289" width="9.75" style="653" customWidth="1"/>
    <col min="1290" max="1290" width="10.375" style="653" customWidth="1"/>
    <col min="1291" max="1292" width="7" style="653" customWidth="1"/>
    <col min="1293" max="1293" width="8.125" style="653" customWidth="1"/>
    <col min="1294" max="1294" width="10" style="653" customWidth="1"/>
    <col min="1295" max="1295" width="9.375" style="653" customWidth="1"/>
    <col min="1296" max="1296" width="10.375" style="653" customWidth="1"/>
    <col min="1297" max="1297" width="10.75" style="653" customWidth="1"/>
    <col min="1298" max="1298" width="9.75" style="653" customWidth="1"/>
    <col min="1299" max="1299" width="10.75" style="653" customWidth="1"/>
    <col min="1300" max="1300" width="7" style="653" customWidth="1"/>
    <col min="1301" max="1302" width="8.25" style="653" customWidth="1"/>
    <col min="1303" max="1304" width="10" style="653" customWidth="1"/>
    <col min="1305" max="1306" width="10.75" style="653" customWidth="1"/>
    <col min="1307" max="1307" width="9.75" style="653" customWidth="1"/>
    <col min="1308" max="1308" width="7" style="653" customWidth="1"/>
    <col min="1309" max="1309" width="10.25" style="653" customWidth="1"/>
    <col min="1310" max="1312" width="7" style="653" customWidth="1"/>
    <col min="1313" max="1313" width="11.75" style="653" bestFit="1" customWidth="1"/>
    <col min="1314" max="1314" width="16.25" style="653" customWidth="1"/>
    <col min="1315" max="1315" width="7.125" style="653" bestFit="1" customWidth="1"/>
    <col min="1316" max="1317" width="9" style="653"/>
    <col min="1318" max="1318" width="7.125" style="653" bestFit="1" customWidth="1"/>
    <col min="1319" max="1321" width="9" style="653"/>
    <col min="1322" max="1324" width="9.75" style="653" bestFit="1" customWidth="1"/>
    <col min="1325" max="1325" width="8.375" style="653" bestFit="1" customWidth="1"/>
    <col min="1326" max="1333" width="9.75" style="653" bestFit="1" customWidth="1"/>
    <col min="1334" max="1518" width="9" style="653"/>
    <col min="1519" max="1519" width="9" style="653" customWidth="1"/>
    <col min="1520" max="1520" width="7" style="653" customWidth="1"/>
    <col min="1521" max="1522" width="8" style="653" customWidth="1"/>
    <col min="1523" max="1523" width="10.125" style="653" customWidth="1"/>
    <col min="1524" max="1524" width="9.625" style="653" customWidth="1"/>
    <col min="1525" max="1525" width="11.875" style="653" customWidth="1"/>
    <col min="1526" max="1526" width="12.75" style="653" customWidth="1"/>
    <col min="1527" max="1527" width="9.25" style="653" customWidth="1"/>
    <col min="1528" max="1528" width="9.625" style="653" customWidth="1"/>
    <col min="1529" max="1529" width="7.75" style="653" customWidth="1"/>
    <col min="1530" max="1530" width="8.375" style="653" customWidth="1"/>
    <col min="1531" max="1531" width="5.875" style="653" customWidth="1"/>
    <col min="1532" max="1532" width="8.875" style="653" customWidth="1"/>
    <col min="1533" max="1533" width="9.25" style="653" customWidth="1"/>
    <col min="1534" max="1534" width="11.125" style="653" customWidth="1"/>
    <col min="1535" max="1535" width="11.875" style="653" customWidth="1"/>
    <col min="1536" max="1536" width="8.75" style="653" customWidth="1"/>
    <col min="1537" max="1537" width="10.25" style="653" customWidth="1"/>
    <col min="1538" max="1538" width="7" style="653" customWidth="1"/>
    <col min="1539" max="1539" width="8" style="653" customWidth="1"/>
    <col min="1540" max="1540" width="7.875" style="653" customWidth="1"/>
    <col min="1541" max="1541" width="11.125" style="653" customWidth="1"/>
    <col min="1542" max="1542" width="10.125" style="653" customWidth="1"/>
    <col min="1543" max="1543" width="11.875" style="653" customWidth="1"/>
    <col min="1544" max="1544" width="11.75" style="653" customWidth="1"/>
    <col min="1545" max="1545" width="9.75" style="653" customWidth="1"/>
    <col min="1546" max="1546" width="10.375" style="653" customWidth="1"/>
    <col min="1547" max="1548" width="7" style="653" customWidth="1"/>
    <col min="1549" max="1549" width="8.125" style="653" customWidth="1"/>
    <col min="1550" max="1550" width="10" style="653" customWidth="1"/>
    <col min="1551" max="1551" width="9.375" style="653" customWidth="1"/>
    <col min="1552" max="1552" width="10.375" style="653" customWidth="1"/>
    <col min="1553" max="1553" width="10.75" style="653" customWidth="1"/>
    <col min="1554" max="1554" width="9.75" style="653" customWidth="1"/>
    <col min="1555" max="1555" width="10.75" style="653" customWidth="1"/>
    <col min="1556" max="1556" width="7" style="653" customWidth="1"/>
    <col min="1557" max="1558" width="8.25" style="653" customWidth="1"/>
    <col min="1559" max="1560" width="10" style="653" customWidth="1"/>
    <col min="1561" max="1562" width="10.75" style="653" customWidth="1"/>
    <col min="1563" max="1563" width="9.75" style="653" customWidth="1"/>
    <col min="1564" max="1564" width="7" style="653" customWidth="1"/>
    <col min="1565" max="1565" width="10.25" style="653" customWidth="1"/>
    <col min="1566" max="1568" width="7" style="653" customWidth="1"/>
    <col min="1569" max="1569" width="11.75" style="653" bestFit="1" customWidth="1"/>
    <col min="1570" max="1570" width="16.25" style="653" customWidth="1"/>
    <col min="1571" max="1571" width="7.125" style="653" bestFit="1" customWidth="1"/>
    <col min="1572" max="1573" width="9" style="653"/>
    <col min="1574" max="1574" width="7.125" style="653" bestFit="1" customWidth="1"/>
    <col min="1575" max="1577" width="9" style="653"/>
    <col min="1578" max="1580" width="9.75" style="653" bestFit="1" customWidth="1"/>
    <col min="1581" max="1581" width="8.375" style="653" bestFit="1" customWidth="1"/>
    <col min="1582" max="1589" width="9.75" style="653" bestFit="1" customWidth="1"/>
    <col min="1590" max="1774" width="9" style="653"/>
    <col min="1775" max="1775" width="9" style="653" customWidth="1"/>
    <col min="1776" max="1776" width="7" style="653" customWidth="1"/>
    <col min="1777" max="1778" width="8" style="653" customWidth="1"/>
    <col min="1779" max="1779" width="10.125" style="653" customWidth="1"/>
    <col min="1780" max="1780" width="9.625" style="653" customWidth="1"/>
    <col min="1781" max="1781" width="11.875" style="653" customWidth="1"/>
    <col min="1782" max="1782" width="12.75" style="653" customWidth="1"/>
    <col min="1783" max="1783" width="9.25" style="653" customWidth="1"/>
    <col min="1784" max="1784" width="9.625" style="653" customWidth="1"/>
    <col min="1785" max="1785" width="7.75" style="653" customWidth="1"/>
    <col min="1786" max="1786" width="8.375" style="653" customWidth="1"/>
    <col min="1787" max="1787" width="5.875" style="653" customWidth="1"/>
    <col min="1788" max="1788" width="8.875" style="653" customWidth="1"/>
    <col min="1789" max="1789" width="9.25" style="653" customWidth="1"/>
    <col min="1790" max="1790" width="11.125" style="653" customWidth="1"/>
    <col min="1791" max="1791" width="11.875" style="653" customWidth="1"/>
    <col min="1792" max="1792" width="8.75" style="653" customWidth="1"/>
    <col min="1793" max="1793" width="10.25" style="653" customWidth="1"/>
    <col min="1794" max="1794" width="7" style="653" customWidth="1"/>
    <col min="1795" max="1795" width="8" style="653" customWidth="1"/>
    <col min="1796" max="1796" width="7.875" style="653" customWidth="1"/>
    <col min="1797" max="1797" width="11.125" style="653" customWidth="1"/>
    <col min="1798" max="1798" width="10.125" style="653" customWidth="1"/>
    <col min="1799" max="1799" width="11.875" style="653" customWidth="1"/>
    <col min="1800" max="1800" width="11.75" style="653" customWidth="1"/>
    <col min="1801" max="1801" width="9.75" style="653" customWidth="1"/>
    <col min="1802" max="1802" width="10.375" style="653" customWidth="1"/>
    <col min="1803" max="1804" width="7" style="653" customWidth="1"/>
    <col min="1805" max="1805" width="8.125" style="653" customWidth="1"/>
    <col min="1806" max="1806" width="10" style="653" customWidth="1"/>
    <col min="1807" max="1807" width="9.375" style="653" customWidth="1"/>
    <col min="1808" max="1808" width="10.375" style="653" customWidth="1"/>
    <col min="1809" max="1809" width="10.75" style="653" customWidth="1"/>
    <col min="1810" max="1810" width="9.75" style="653" customWidth="1"/>
    <col min="1811" max="1811" width="10.75" style="653" customWidth="1"/>
    <col min="1812" max="1812" width="7" style="653" customWidth="1"/>
    <col min="1813" max="1814" width="8.25" style="653" customWidth="1"/>
    <col min="1815" max="1816" width="10" style="653" customWidth="1"/>
    <col min="1817" max="1818" width="10.75" style="653" customWidth="1"/>
    <col min="1819" max="1819" width="9.75" style="653" customWidth="1"/>
    <col min="1820" max="1820" width="7" style="653" customWidth="1"/>
    <col min="1821" max="1821" width="10.25" style="653" customWidth="1"/>
    <col min="1822" max="1824" width="7" style="653" customWidth="1"/>
    <col min="1825" max="1825" width="11.75" style="653" bestFit="1" customWidth="1"/>
    <col min="1826" max="1826" width="16.25" style="653" customWidth="1"/>
    <col min="1827" max="1827" width="7.125" style="653" bestFit="1" customWidth="1"/>
    <col min="1828" max="1829" width="9" style="653"/>
    <col min="1830" max="1830" width="7.125" style="653" bestFit="1" customWidth="1"/>
    <col min="1831" max="1833" width="9" style="653"/>
    <col min="1834" max="1836" width="9.75" style="653" bestFit="1" customWidth="1"/>
    <col min="1837" max="1837" width="8.375" style="653" bestFit="1" customWidth="1"/>
    <col min="1838" max="1845" width="9.75" style="653" bestFit="1" customWidth="1"/>
    <col min="1846" max="2030" width="9" style="653"/>
    <col min="2031" max="2031" width="9" style="653" customWidth="1"/>
    <col min="2032" max="2032" width="7" style="653" customWidth="1"/>
    <col min="2033" max="2034" width="8" style="653" customWidth="1"/>
    <col min="2035" max="2035" width="10.125" style="653" customWidth="1"/>
    <col min="2036" max="2036" width="9.625" style="653" customWidth="1"/>
    <col min="2037" max="2037" width="11.875" style="653" customWidth="1"/>
    <col min="2038" max="2038" width="12.75" style="653" customWidth="1"/>
    <col min="2039" max="2039" width="9.25" style="653" customWidth="1"/>
    <col min="2040" max="2040" width="9.625" style="653" customWidth="1"/>
    <col min="2041" max="2041" width="7.75" style="653" customWidth="1"/>
    <col min="2042" max="2042" width="8.375" style="653" customWidth="1"/>
    <col min="2043" max="2043" width="5.875" style="653" customWidth="1"/>
    <col min="2044" max="2044" width="8.875" style="653" customWidth="1"/>
    <col min="2045" max="2045" width="9.25" style="653" customWidth="1"/>
    <col min="2046" max="2046" width="11.125" style="653" customWidth="1"/>
    <col min="2047" max="2047" width="11.875" style="653" customWidth="1"/>
    <col min="2048" max="2048" width="8.75" style="653" customWidth="1"/>
    <col min="2049" max="2049" width="10.25" style="653" customWidth="1"/>
    <col min="2050" max="2050" width="7" style="653" customWidth="1"/>
    <col min="2051" max="2051" width="8" style="653" customWidth="1"/>
    <col min="2052" max="2052" width="7.875" style="653" customWidth="1"/>
    <col min="2053" max="2053" width="11.125" style="653" customWidth="1"/>
    <col min="2054" max="2054" width="10.125" style="653" customWidth="1"/>
    <col min="2055" max="2055" width="11.875" style="653" customWidth="1"/>
    <col min="2056" max="2056" width="11.75" style="653" customWidth="1"/>
    <col min="2057" max="2057" width="9.75" style="653" customWidth="1"/>
    <col min="2058" max="2058" width="10.375" style="653" customWidth="1"/>
    <col min="2059" max="2060" width="7" style="653" customWidth="1"/>
    <col min="2061" max="2061" width="8.125" style="653" customWidth="1"/>
    <col min="2062" max="2062" width="10" style="653" customWidth="1"/>
    <col min="2063" max="2063" width="9.375" style="653" customWidth="1"/>
    <col min="2064" max="2064" width="10.375" style="653" customWidth="1"/>
    <col min="2065" max="2065" width="10.75" style="653" customWidth="1"/>
    <col min="2066" max="2066" width="9.75" style="653" customWidth="1"/>
    <col min="2067" max="2067" width="10.75" style="653" customWidth="1"/>
    <col min="2068" max="2068" width="7" style="653" customWidth="1"/>
    <col min="2069" max="2070" width="8.25" style="653" customWidth="1"/>
    <col min="2071" max="2072" width="10" style="653" customWidth="1"/>
    <col min="2073" max="2074" width="10.75" style="653" customWidth="1"/>
    <col min="2075" max="2075" width="9.75" style="653" customWidth="1"/>
    <col min="2076" max="2076" width="7" style="653" customWidth="1"/>
    <col min="2077" max="2077" width="10.25" style="653" customWidth="1"/>
    <col min="2078" max="2080" width="7" style="653" customWidth="1"/>
    <col min="2081" max="2081" width="11.75" style="653" bestFit="1" customWidth="1"/>
    <col min="2082" max="2082" width="16.25" style="653" customWidth="1"/>
    <col min="2083" max="2083" width="7.125" style="653" bestFit="1" customWidth="1"/>
    <col min="2084" max="2085" width="9" style="653"/>
    <col min="2086" max="2086" width="7.125" style="653" bestFit="1" customWidth="1"/>
    <col min="2087" max="2089" width="9" style="653"/>
    <col min="2090" max="2092" width="9.75" style="653" bestFit="1" customWidth="1"/>
    <col min="2093" max="2093" width="8.375" style="653" bestFit="1" customWidth="1"/>
    <col min="2094" max="2101" width="9.75" style="653" bestFit="1" customWidth="1"/>
    <col min="2102" max="2286" width="9" style="653"/>
    <col min="2287" max="2287" width="9" style="653" customWidth="1"/>
    <col min="2288" max="2288" width="7" style="653" customWidth="1"/>
    <col min="2289" max="2290" width="8" style="653" customWidth="1"/>
    <col min="2291" max="2291" width="10.125" style="653" customWidth="1"/>
    <col min="2292" max="2292" width="9.625" style="653" customWidth="1"/>
    <col min="2293" max="2293" width="11.875" style="653" customWidth="1"/>
    <col min="2294" max="2294" width="12.75" style="653" customWidth="1"/>
    <col min="2295" max="2295" width="9.25" style="653" customWidth="1"/>
    <col min="2296" max="2296" width="9.625" style="653" customWidth="1"/>
    <col min="2297" max="2297" width="7.75" style="653" customWidth="1"/>
    <col min="2298" max="2298" width="8.375" style="653" customWidth="1"/>
    <col min="2299" max="2299" width="5.875" style="653" customWidth="1"/>
    <col min="2300" max="2300" width="8.875" style="653" customWidth="1"/>
    <col min="2301" max="2301" width="9.25" style="653" customWidth="1"/>
    <col min="2302" max="2302" width="11.125" style="653" customWidth="1"/>
    <col min="2303" max="2303" width="11.875" style="653" customWidth="1"/>
    <col min="2304" max="2304" width="8.75" style="653" customWidth="1"/>
    <col min="2305" max="2305" width="10.25" style="653" customWidth="1"/>
    <col min="2306" max="2306" width="7" style="653" customWidth="1"/>
    <col min="2307" max="2307" width="8" style="653" customWidth="1"/>
    <col min="2308" max="2308" width="7.875" style="653" customWidth="1"/>
    <col min="2309" max="2309" width="11.125" style="653" customWidth="1"/>
    <col min="2310" max="2310" width="10.125" style="653" customWidth="1"/>
    <col min="2311" max="2311" width="11.875" style="653" customWidth="1"/>
    <col min="2312" max="2312" width="11.75" style="653" customWidth="1"/>
    <col min="2313" max="2313" width="9.75" style="653" customWidth="1"/>
    <col min="2314" max="2314" width="10.375" style="653" customWidth="1"/>
    <col min="2315" max="2316" width="7" style="653" customWidth="1"/>
    <col min="2317" max="2317" width="8.125" style="653" customWidth="1"/>
    <col min="2318" max="2318" width="10" style="653" customWidth="1"/>
    <col min="2319" max="2319" width="9.375" style="653" customWidth="1"/>
    <col min="2320" max="2320" width="10.375" style="653" customWidth="1"/>
    <col min="2321" max="2321" width="10.75" style="653" customWidth="1"/>
    <col min="2322" max="2322" width="9.75" style="653" customWidth="1"/>
    <col min="2323" max="2323" width="10.75" style="653" customWidth="1"/>
    <col min="2324" max="2324" width="7" style="653" customWidth="1"/>
    <col min="2325" max="2326" width="8.25" style="653" customWidth="1"/>
    <col min="2327" max="2328" width="10" style="653" customWidth="1"/>
    <col min="2329" max="2330" width="10.75" style="653" customWidth="1"/>
    <col min="2331" max="2331" width="9.75" style="653" customWidth="1"/>
    <col min="2332" max="2332" width="7" style="653" customWidth="1"/>
    <col min="2333" max="2333" width="10.25" style="653" customWidth="1"/>
    <col min="2334" max="2336" width="7" style="653" customWidth="1"/>
    <col min="2337" max="2337" width="11.75" style="653" bestFit="1" customWidth="1"/>
    <col min="2338" max="2338" width="16.25" style="653" customWidth="1"/>
    <col min="2339" max="2339" width="7.125" style="653" bestFit="1" customWidth="1"/>
    <col min="2340" max="2341" width="9" style="653"/>
    <col min="2342" max="2342" width="7.125" style="653" bestFit="1" customWidth="1"/>
    <col min="2343" max="2345" width="9" style="653"/>
    <col min="2346" max="2348" width="9.75" style="653" bestFit="1" customWidth="1"/>
    <col min="2349" max="2349" width="8.375" style="653" bestFit="1" customWidth="1"/>
    <col min="2350" max="2357" width="9.75" style="653" bestFit="1" customWidth="1"/>
    <col min="2358" max="2542" width="9" style="653"/>
    <col min="2543" max="2543" width="9" style="653" customWidth="1"/>
    <col min="2544" max="2544" width="7" style="653" customWidth="1"/>
    <col min="2545" max="2546" width="8" style="653" customWidth="1"/>
    <col min="2547" max="2547" width="10.125" style="653" customWidth="1"/>
    <col min="2548" max="2548" width="9.625" style="653" customWidth="1"/>
    <col min="2549" max="2549" width="11.875" style="653" customWidth="1"/>
    <col min="2550" max="2550" width="12.75" style="653" customWidth="1"/>
    <col min="2551" max="2551" width="9.25" style="653" customWidth="1"/>
    <col min="2552" max="2552" width="9.625" style="653" customWidth="1"/>
    <col min="2553" max="2553" width="7.75" style="653" customWidth="1"/>
    <col min="2554" max="2554" width="8.375" style="653" customWidth="1"/>
    <col min="2555" max="2555" width="5.875" style="653" customWidth="1"/>
    <col min="2556" max="2556" width="8.875" style="653" customWidth="1"/>
    <col min="2557" max="2557" width="9.25" style="653" customWidth="1"/>
    <col min="2558" max="2558" width="11.125" style="653" customWidth="1"/>
    <col min="2559" max="2559" width="11.875" style="653" customWidth="1"/>
    <col min="2560" max="2560" width="8.75" style="653" customWidth="1"/>
    <col min="2561" max="2561" width="10.25" style="653" customWidth="1"/>
    <col min="2562" max="2562" width="7" style="653" customWidth="1"/>
    <col min="2563" max="2563" width="8" style="653" customWidth="1"/>
    <col min="2564" max="2564" width="7.875" style="653" customWidth="1"/>
    <col min="2565" max="2565" width="11.125" style="653" customWidth="1"/>
    <col min="2566" max="2566" width="10.125" style="653" customWidth="1"/>
    <col min="2567" max="2567" width="11.875" style="653" customWidth="1"/>
    <col min="2568" max="2568" width="11.75" style="653" customWidth="1"/>
    <col min="2569" max="2569" width="9.75" style="653" customWidth="1"/>
    <col min="2570" max="2570" width="10.375" style="653" customWidth="1"/>
    <col min="2571" max="2572" width="7" style="653" customWidth="1"/>
    <col min="2573" max="2573" width="8.125" style="653" customWidth="1"/>
    <col min="2574" max="2574" width="10" style="653" customWidth="1"/>
    <col min="2575" max="2575" width="9.375" style="653" customWidth="1"/>
    <col min="2576" max="2576" width="10.375" style="653" customWidth="1"/>
    <col min="2577" max="2577" width="10.75" style="653" customWidth="1"/>
    <col min="2578" max="2578" width="9.75" style="653" customWidth="1"/>
    <col min="2579" max="2579" width="10.75" style="653" customWidth="1"/>
    <col min="2580" max="2580" width="7" style="653" customWidth="1"/>
    <col min="2581" max="2582" width="8.25" style="653" customWidth="1"/>
    <col min="2583" max="2584" width="10" style="653" customWidth="1"/>
    <col min="2585" max="2586" width="10.75" style="653" customWidth="1"/>
    <col min="2587" max="2587" width="9.75" style="653" customWidth="1"/>
    <col min="2588" max="2588" width="7" style="653" customWidth="1"/>
    <col min="2589" max="2589" width="10.25" style="653" customWidth="1"/>
    <col min="2590" max="2592" width="7" style="653" customWidth="1"/>
    <col min="2593" max="2593" width="11.75" style="653" bestFit="1" customWidth="1"/>
    <col min="2594" max="2594" width="16.25" style="653" customWidth="1"/>
    <col min="2595" max="2595" width="7.125" style="653" bestFit="1" customWidth="1"/>
    <col min="2596" max="2597" width="9" style="653"/>
    <col min="2598" max="2598" width="7.125" style="653" bestFit="1" customWidth="1"/>
    <col min="2599" max="2601" width="9" style="653"/>
    <col min="2602" max="2604" width="9.75" style="653" bestFit="1" customWidth="1"/>
    <col min="2605" max="2605" width="8.375" style="653" bestFit="1" customWidth="1"/>
    <col min="2606" max="2613" width="9.75" style="653" bestFit="1" customWidth="1"/>
    <col min="2614" max="2798" width="9" style="653"/>
    <col min="2799" max="2799" width="9" style="653" customWidth="1"/>
    <col min="2800" max="2800" width="7" style="653" customWidth="1"/>
    <col min="2801" max="2802" width="8" style="653" customWidth="1"/>
    <col min="2803" max="2803" width="10.125" style="653" customWidth="1"/>
    <col min="2804" max="2804" width="9.625" style="653" customWidth="1"/>
    <col min="2805" max="2805" width="11.875" style="653" customWidth="1"/>
    <col min="2806" max="2806" width="12.75" style="653" customWidth="1"/>
    <col min="2807" max="2807" width="9.25" style="653" customWidth="1"/>
    <col min="2808" max="2808" width="9.625" style="653" customWidth="1"/>
    <col min="2809" max="2809" width="7.75" style="653" customWidth="1"/>
    <col min="2810" max="2810" width="8.375" style="653" customWidth="1"/>
    <col min="2811" max="2811" width="5.875" style="653" customWidth="1"/>
    <col min="2812" max="2812" width="8.875" style="653" customWidth="1"/>
    <col min="2813" max="2813" width="9.25" style="653" customWidth="1"/>
    <col min="2814" max="2814" width="11.125" style="653" customWidth="1"/>
    <col min="2815" max="2815" width="11.875" style="653" customWidth="1"/>
    <col min="2816" max="2816" width="8.75" style="653" customWidth="1"/>
    <col min="2817" max="2817" width="10.25" style="653" customWidth="1"/>
    <col min="2818" max="2818" width="7" style="653" customWidth="1"/>
    <col min="2819" max="2819" width="8" style="653" customWidth="1"/>
    <col min="2820" max="2820" width="7.875" style="653" customWidth="1"/>
    <col min="2821" max="2821" width="11.125" style="653" customWidth="1"/>
    <col min="2822" max="2822" width="10.125" style="653" customWidth="1"/>
    <col min="2823" max="2823" width="11.875" style="653" customWidth="1"/>
    <col min="2824" max="2824" width="11.75" style="653" customWidth="1"/>
    <col min="2825" max="2825" width="9.75" style="653" customWidth="1"/>
    <col min="2826" max="2826" width="10.375" style="653" customWidth="1"/>
    <col min="2827" max="2828" width="7" style="653" customWidth="1"/>
    <col min="2829" max="2829" width="8.125" style="653" customWidth="1"/>
    <col min="2830" max="2830" width="10" style="653" customWidth="1"/>
    <col min="2831" max="2831" width="9.375" style="653" customWidth="1"/>
    <col min="2832" max="2832" width="10.375" style="653" customWidth="1"/>
    <col min="2833" max="2833" width="10.75" style="653" customWidth="1"/>
    <col min="2834" max="2834" width="9.75" style="653" customWidth="1"/>
    <col min="2835" max="2835" width="10.75" style="653" customWidth="1"/>
    <col min="2836" max="2836" width="7" style="653" customWidth="1"/>
    <col min="2837" max="2838" width="8.25" style="653" customWidth="1"/>
    <col min="2839" max="2840" width="10" style="653" customWidth="1"/>
    <col min="2841" max="2842" width="10.75" style="653" customWidth="1"/>
    <col min="2843" max="2843" width="9.75" style="653" customWidth="1"/>
    <col min="2844" max="2844" width="7" style="653" customWidth="1"/>
    <col min="2845" max="2845" width="10.25" style="653" customWidth="1"/>
    <col min="2846" max="2848" width="7" style="653" customWidth="1"/>
    <col min="2849" max="2849" width="11.75" style="653" bestFit="1" customWidth="1"/>
    <col min="2850" max="2850" width="16.25" style="653" customWidth="1"/>
    <col min="2851" max="2851" width="7.125" style="653" bestFit="1" customWidth="1"/>
    <col min="2852" max="2853" width="9" style="653"/>
    <col min="2854" max="2854" width="7.125" style="653" bestFit="1" customWidth="1"/>
    <col min="2855" max="2857" width="9" style="653"/>
    <col min="2858" max="2860" width="9.75" style="653" bestFit="1" customWidth="1"/>
    <col min="2861" max="2861" width="8.375" style="653" bestFit="1" customWidth="1"/>
    <col min="2862" max="2869" width="9.75" style="653" bestFit="1" customWidth="1"/>
    <col min="2870" max="3054" width="9" style="653"/>
    <col min="3055" max="3055" width="9" style="653" customWidth="1"/>
    <col min="3056" max="3056" width="7" style="653" customWidth="1"/>
    <col min="3057" max="3058" width="8" style="653" customWidth="1"/>
    <col min="3059" max="3059" width="10.125" style="653" customWidth="1"/>
    <col min="3060" max="3060" width="9.625" style="653" customWidth="1"/>
    <col min="3061" max="3061" width="11.875" style="653" customWidth="1"/>
    <col min="3062" max="3062" width="12.75" style="653" customWidth="1"/>
    <col min="3063" max="3063" width="9.25" style="653" customWidth="1"/>
    <col min="3064" max="3064" width="9.625" style="653" customWidth="1"/>
    <col min="3065" max="3065" width="7.75" style="653" customWidth="1"/>
    <col min="3066" max="3066" width="8.375" style="653" customWidth="1"/>
    <col min="3067" max="3067" width="5.875" style="653" customWidth="1"/>
    <col min="3068" max="3068" width="8.875" style="653" customWidth="1"/>
    <col min="3069" max="3069" width="9.25" style="653" customWidth="1"/>
    <col min="3070" max="3070" width="11.125" style="653" customWidth="1"/>
    <col min="3071" max="3071" width="11.875" style="653" customWidth="1"/>
    <col min="3072" max="3072" width="8.75" style="653" customWidth="1"/>
    <col min="3073" max="3073" width="10.25" style="653" customWidth="1"/>
    <col min="3074" max="3074" width="7" style="653" customWidth="1"/>
    <col min="3075" max="3075" width="8" style="653" customWidth="1"/>
    <col min="3076" max="3076" width="7.875" style="653" customWidth="1"/>
    <col min="3077" max="3077" width="11.125" style="653" customWidth="1"/>
    <col min="3078" max="3078" width="10.125" style="653" customWidth="1"/>
    <col min="3079" max="3079" width="11.875" style="653" customWidth="1"/>
    <col min="3080" max="3080" width="11.75" style="653" customWidth="1"/>
    <col min="3081" max="3081" width="9.75" style="653" customWidth="1"/>
    <col min="3082" max="3082" width="10.375" style="653" customWidth="1"/>
    <col min="3083" max="3084" width="7" style="653" customWidth="1"/>
    <col min="3085" max="3085" width="8.125" style="653" customWidth="1"/>
    <col min="3086" max="3086" width="10" style="653" customWidth="1"/>
    <col min="3087" max="3087" width="9.375" style="653" customWidth="1"/>
    <col min="3088" max="3088" width="10.375" style="653" customWidth="1"/>
    <col min="3089" max="3089" width="10.75" style="653" customWidth="1"/>
    <col min="3090" max="3090" width="9.75" style="653" customWidth="1"/>
    <col min="3091" max="3091" width="10.75" style="653" customWidth="1"/>
    <col min="3092" max="3092" width="7" style="653" customWidth="1"/>
    <col min="3093" max="3094" width="8.25" style="653" customWidth="1"/>
    <col min="3095" max="3096" width="10" style="653" customWidth="1"/>
    <col min="3097" max="3098" width="10.75" style="653" customWidth="1"/>
    <col min="3099" max="3099" width="9.75" style="653" customWidth="1"/>
    <col min="3100" max="3100" width="7" style="653" customWidth="1"/>
    <col min="3101" max="3101" width="10.25" style="653" customWidth="1"/>
    <col min="3102" max="3104" width="7" style="653" customWidth="1"/>
    <col min="3105" max="3105" width="11.75" style="653" bestFit="1" customWidth="1"/>
    <col min="3106" max="3106" width="16.25" style="653" customWidth="1"/>
    <col min="3107" max="3107" width="7.125" style="653" bestFit="1" customWidth="1"/>
    <col min="3108" max="3109" width="9" style="653"/>
    <col min="3110" max="3110" width="7.125" style="653" bestFit="1" customWidth="1"/>
    <col min="3111" max="3113" width="9" style="653"/>
    <col min="3114" max="3116" width="9.75" style="653" bestFit="1" customWidth="1"/>
    <col min="3117" max="3117" width="8.375" style="653" bestFit="1" customWidth="1"/>
    <col min="3118" max="3125" width="9.75" style="653" bestFit="1" customWidth="1"/>
    <col min="3126" max="3310" width="9" style="653"/>
    <col min="3311" max="3311" width="9" style="653" customWidth="1"/>
    <col min="3312" max="3312" width="7" style="653" customWidth="1"/>
    <col min="3313" max="3314" width="8" style="653" customWidth="1"/>
    <col min="3315" max="3315" width="10.125" style="653" customWidth="1"/>
    <col min="3316" max="3316" width="9.625" style="653" customWidth="1"/>
    <col min="3317" max="3317" width="11.875" style="653" customWidth="1"/>
    <col min="3318" max="3318" width="12.75" style="653" customWidth="1"/>
    <col min="3319" max="3319" width="9.25" style="653" customWidth="1"/>
    <col min="3320" max="3320" width="9.625" style="653" customWidth="1"/>
    <col min="3321" max="3321" width="7.75" style="653" customWidth="1"/>
    <col min="3322" max="3322" width="8.375" style="653" customWidth="1"/>
    <col min="3323" max="3323" width="5.875" style="653" customWidth="1"/>
    <col min="3324" max="3324" width="8.875" style="653" customWidth="1"/>
    <col min="3325" max="3325" width="9.25" style="653" customWidth="1"/>
    <col min="3326" max="3326" width="11.125" style="653" customWidth="1"/>
    <col min="3327" max="3327" width="11.875" style="653" customWidth="1"/>
    <col min="3328" max="3328" width="8.75" style="653" customWidth="1"/>
    <col min="3329" max="3329" width="10.25" style="653" customWidth="1"/>
    <col min="3330" max="3330" width="7" style="653" customWidth="1"/>
    <col min="3331" max="3331" width="8" style="653" customWidth="1"/>
    <col min="3332" max="3332" width="7.875" style="653" customWidth="1"/>
    <col min="3333" max="3333" width="11.125" style="653" customWidth="1"/>
    <col min="3334" max="3334" width="10.125" style="653" customWidth="1"/>
    <col min="3335" max="3335" width="11.875" style="653" customWidth="1"/>
    <col min="3336" max="3336" width="11.75" style="653" customWidth="1"/>
    <col min="3337" max="3337" width="9.75" style="653" customWidth="1"/>
    <col min="3338" max="3338" width="10.375" style="653" customWidth="1"/>
    <col min="3339" max="3340" width="7" style="653" customWidth="1"/>
    <col min="3341" max="3341" width="8.125" style="653" customWidth="1"/>
    <col min="3342" max="3342" width="10" style="653" customWidth="1"/>
    <col min="3343" max="3343" width="9.375" style="653" customWidth="1"/>
    <col min="3344" max="3344" width="10.375" style="653" customWidth="1"/>
    <col min="3345" max="3345" width="10.75" style="653" customWidth="1"/>
    <col min="3346" max="3346" width="9.75" style="653" customWidth="1"/>
    <col min="3347" max="3347" width="10.75" style="653" customWidth="1"/>
    <col min="3348" max="3348" width="7" style="653" customWidth="1"/>
    <col min="3349" max="3350" width="8.25" style="653" customWidth="1"/>
    <col min="3351" max="3352" width="10" style="653" customWidth="1"/>
    <col min="3353" max="3354" width="10.75" style="653" customWidth="1"/>
    <col min="3355" max="3355" width="9.75" style="653" customWidth="1"/>
    <col min="3356" max="3356" width="7" style="653" customWidth="1"/>
    <col min="3357" max="3357" width="10.25" style="653" customWidth="1"/>
    <col min="3358" max="3360" width="7" style="653" customWidth="1"/>
    <col min="3361" max="3361" width="11.75" style="653" bestFit="1" customWidth="1"/>
    <col min="3362" max="3362" width="16.25" style="653" customWidth="1"/>
    <col min="3363" max="3363" width="7.125" style="653" bestFit="1" customWidth="1"/>
    <col min="3364" max="3365" width="9" style="653"/>
    <col min="3366" max="3366" width="7.125" style="653" bestFit="1" customWidth="1"/>
    <col min="3367" max="3369" width="9" style="653"/>
    <col min="3370" max="3372" width="9.75" style="653" bestFit="1" customWidth="1"/>
    <col min="3373" max="3373" width="8.375" style="653" bestFit="1" customWidth="1"/>
    <col min="3374" max="3381" width="9.75" style="653" bestFit="1" customWidth="1"/>
    <col min="3382" max="3566" width="9" style="653"/>
    <col min="3567" max="3567" width="9" style="653" customWidth="1"/>
    <col min="3568" max="3568" width="7" style="653" customWidth="1"/>
    <col min="3569" max="3570" width="8" style="653" customWidth="1"/>
    <col min="3571" max="3571" width="10.125" style="653" customWidth="1"/>
    <col min="3572" max="3572" width="9.625" style="653" customWidth="1"/>
    <col min="3573" max="3573" width="11.875" style="653" customWidth="1"/>
    <col min="3574" max="3574" width="12.75" style="653" customWidth="1"/>
    <col min="3575" max="3575" width="9.25" style="653" customWidth="1"/>
    <col min="3576" max="3576" width="9.625" style="653" customWidth="1"/>
    <col min="3577" max="3577" width="7.75" style="653" customWidth="1"/>
    <col min="3578" max="3578" width="8.375" style="653" customWidth="1"/>
    <col min="3579" max="3579" width="5.875" style="653" customWidth="1"/>
    <col min="3580" max="3580" width="8.875" style="653" customWidth="1"/>
    <col min="3581" max="3581" width="9.25" style="653" customWidth="1"/>
    <col min="3582" max="3582" width="11.125" style="653" customWidth="1"/>
    <col min="3583" max="3583" width="11.875" style="653" customWidth="1"/>
    <col min="3584" max="3584" width="8.75" style="653" customWidth="1"/>
    <col min="3585" max="3585" width="10.25" style="653" customWidth="1"/>
    <col min="3586" max="3586" width="7" style="653" customWidth="1"/>
    <col min="3587" max="3587" width="8" style="653" customWidth="1"/>
    <col min="3588" max="3588" width="7.875" style="653" customWidth="1"/>
    <col min="3589" max="3589" width="11.125" style="653" customWidth="1"/>
    <col min="3590" max="3590" width="10.125" style="653" customWidth="1"/>
    <col min="3591" max="3591" width="11.875" style="653" customWidth="1"/>
    <col min="3592" max="3592" width="11.75" style="653" customWidth="1"/>
    <col min="3593" max="3593" width="9.75" style="653" customWidth="1"/>
    <col min="3594" max="3594" width="10.375" style="653" customWidth="1"/>
    <col min="3595" max="3596" width="7" style="653" customWidth="1"/>
    <col min="3597" max="3597" width="8.125" style="653" customWidth="1"/>
    <col min="3598" max="3598" width="10" style="653" customWidth="1"/>
    <col min="3599" max="3599" width="9.375" style="653" customWidth="1"/>
    <col min="3600" max="3600" width="10.375" style="653" customWidth="1"/>
    <col min="3601" max="3601" width="10.75" style="653" customWidth="1"/>
    <col min="3602" max="3602" width="9.75" style="653" customWidth="1"/>
    <col min="3603" max="3603" width="10.75" style="653" customWidth="1"/>
    <col min="3604" max="3604" width="7" style="653" customWidth="1"/>
    <col min="3605" max="3606" width="8.25" style="653" customWidth="1"/>
    <col min="3607" max="3608" width="10" style="653" customWidth="1"/>
    <col min="3609" max="3610" width="10.75" style="653" customWidth="1"/>
    <col min="3611" max="3611" width="9.75" style="653" customWidth="1"/>
    <col min="3612" max="3612" width="7" style="653" customWidth="1"/>
    <col min="3613" max="3613" width="10.25" style="653" customWidth="1"/>
    <col min="3614" max="3616" width="7" style="653" customWidth="1"/>
    <col min="3617" max="3617" width="11.75" style="653" bestFit="1" customWidth="1"/>
    <col min="3618" max="3618" width="16.25" style="653" customWidth="1"/>
    <col min="3619" max="3619" width="7.125" style="653" bestFit="1" customWidth="1"/>
    <col min="3620" max="3621" width="9" style="653"/>
    <col min="3622" max="3622" width="7.125" style="653" bestFit="1" customWidth="1"/>
    <col min="3623" max="3625" width="9" style="653"/>
    <col min="3626" max="3628" width="9.75" style="653" bestFit="1" customWidth="1"/>
    <col min="3629" max="3629" width="8.375" style="653" bestFit="1" customWidth="1"/>
    <col min="3630" max="3637" width="9.75" style="653" bestFit="1" customWidth="1"/>
    <col min="3638" max="3822" width="9" style="653"/>
    <col min="3823" max="3823" width="9" style="653" customWidth="1"/>
    <col min="3824" max="3824" width="7" style="653" customWidth="1"/>
    <col min="3825" max="3826" width="8" style="653" customWidth="1"/>
    <col min="3827" max="3827" width="10.125" style="653" customWidth="1"/>
    <col min="3828" max="3828" width="9.625" style="653" customWidth="1"/>
    <col min="3829" max="3829" width="11.875" style="653" customWidth="1"/>
    <col min="3830" max="3830" width="12.75" style="653" customWidth="1"/>
    <col min="3831" max="3831" width="9.25" style="653" customWidth="1"/>
    <col min="3832" max="3832" width="9.625" style="653" customWidth="1"/>
    <col min="3833" max="3833" width="7.75" style="653" customWidth="1"/>
    <col min="3834" max="3834" width="8.375" style="653" customWidth="1"/>
    <col min="3835" max="3835" width="5.875" style="653" customWidth="1"/>
    <col min="3836" max="3836" width="8.875" style="653" customWidth="1"/>
    <col min="3837" max="3837" width="9.25" style="653" customWidth="1"/>
    <col min="3838" max="3838" width="11.125" style="653" customWidth="1"/>
    <col min="3839" max="3839" width="11.875" style="653" customWidth="1"/>
    <col min="3840" max="3840" width="8.75" style="653" customWidth="1"/>
    <col min="3841" max="3841" width="10.25" style="653" customWidth="1"/>
    <col min="3842" max="3842" width="7" style="653" customWidth="1"/>
    <col min="3843" max="3843" width="8" style="653" customWidth="1"/>
    <col min="3844" max="3844" width="7.875" style="653" customWidth="1"/>
    <col min="3845" max="3845" width="11.125" style="653" customWidth="1"/>
    <col min="3846" max="3846" width="10.125" style="653" customWidth="1"/>
    <col min="3847" max="3847" width="11.875" style="653" customWidth="1"/>
    <col min="3848" max="3848" width="11.75" style="653" customWidth="1"/>
    <col min="3849" max="3849" width="9.75" style="653" customWidth="1"/>
    <col min="3850" max="3850" width="10.375" style="653" customWidth="1"/>
    <col min="3851" max="3852" width="7" style="653" customWidth="1"/>
    <col min="3853" max="3853" width="8.125" style="653" customWidth="1"/>
    <col min="3854" max="3854" width="10" style="653" customWidth="1"/>
    <col min="3855" max="3855" width="9.375" style="653" customWidth="1"/>
    <col min="3856" max="3856" width="10.375" style="653" customWidth="1"/>
    <col min="3857" max="3857" width="10.75" style="653" customWidth="1"/>
    <col min="3858" max="3858" width="9.75" style="653" customWidth="1"/>
    <col min="3859" max="3859" width="10.75" style="653" customWidth="1"/>
    <col min="3860" max="3860" width="7" style="653" customWidth="1"/>
    <col min="3861" max="3862" width="8.25" style="653" customWidth="1"/>
    <col min="3863" max="3864" width="10" style="653" customWidth="1"/>
    <col min="3865" max="3866" width="10.75" style="653" customWidth="1"/>
    <col min="3867" max="3867" width="9.75" style="653" customWidth="1"/>
    <col min="3868" max="3868" width="7" style="653" customWidth="1"/>
    <col min="3869" max="3869" width="10.25" style="653" customWidth="1"/>
    <col min="3870" max="3872" width="7" style="653" customWidth="1"/>
    <col min="3873" max="3873" width="11.75" style="653" bestFit="1" customWidth="1"/>
    <col min="3874" max="3874" width="16.25" style="653" customWidth="1"/>
    <col min="3875" max="3875" width="7.125" style="653" bestFit="1" customWidth="1"/>
    <col min="3876" max="3877" width="9" style="653"/>
    <col min="3878" max="3878" width="7.125" style="653" bestFit="1" customWidth="1"/>
    <col min="3879" max="3881" width="9" style="653"/>
    <col min="3882" max="3884" width="9.75" style="653" bestFit="1" customWidth="1"/>
    <col min="3885" max="3885" width="8.375" style="653" bestFit="1" customWidth="1"/>
    <col min="3886" max="3893" width="9.75" style="653" bestFit="1" customWidth="1"/>
    <col min="3894" max="4078" width="9" style="653"/>
    <col min="4079" max="4079" width="9" style="653" customWidth="1"/>
    <col min="4080" max="4080" width="7" style="653" customWidth="1"/>
    <col min="4081" max="4082" width="8" style="653" customWidth="1"/>
    <col min="4083" max="4083" width="10.125" style="653" customWidth="1"/>
    <col min="4084" max="4084" width="9.625" style="653" customWidth="1"/>
    <col min="4085" max="4085" width="11.875" style="653" customWidth="1"/>
    <col min="4086" max="4086" width="12.75" style="653" customWidth="1"/>
    <col min="4087" max="4087" width="9.25" style="653" customWidth="1"/>
    <col min="4088" max="4088" width="9.625" style="653" customWidth="1"/>
    <col min="4089" max="4089" width="7.75" style="653" customWidth="1"/>
    <col min="4090" max="4090" width="8.375" style="653" customWidth="1"/>
    <col min="4091" max="4091" width="5.875" style="653" customWidth="1"/>
    <col min="4092" max="4092" width="8.875" style="653" customWidth="1"/>
    <col min="4093" max="4093" width="9.25" style="653" customWidth="1"/>
    <col min="4094" max="4094" width="11.125" style="653" customWidth="1"/>
    <col min="4095" max="4095" width="11.875" style="653" customWidth="1"/>
    <col min="4096" max="4096" width="8.75" style="653" customWidth="1"/>
    <col min="4097" max="4097" width="10.25" style="653" customWidth="1"/>
    <col min="4098" max="4098" width="7" style="653" customWidth="1"/>
    <col min="4099" max="4099" width="8" style="653" customWidth="1"/>
    <col min="4100" max="4100" width="7.875" style="653" customWidth="1"/>
    <col min="4101" max="4101" width="11.125" style="653" customWidth="1"/>
    <col min="4102" max="4102" width="10.125" style="653" customWidth="1"/>
    <col min="4103" max="4103" width="11.875" style="653" customWidth="1"/>
    <col min="4104" max="4104" width="11.75" style="653" customWidth="1"/>
    <col min="4105" max="4105" width="9.75" style="653" customWidth="1"/>
    <col min="4106" max="4106" width="10.375" style="653" customWidth="1"/>
    <col min="4107" max="4108" width="7" style="653" customWidth="1"/>
    <col min="4109" max="4109" width="8.125" style="653" customWidth="1"/>
    <col min="4110" max="4110" width="10" style="653" customWidth="1"/>
    <col min="4111" max="4111" width="9.375" style="653" customWidth="1"/>
    <col min="4112" max="4112" width="10.375" style="653" customWidth="1"/>
    <col min="4113" max="4113" width="10.75" style="653" customWidth="1"/>
    <col min="4114" max="4114" width="9.75" style="653" customWidth="1"/>
    <col min="4115" max="4115" width="10.75" style="653" customWidth="1"/>
    <col min="4116" max="4116" width="7" style="653" customWidth="1"/>
    <col min="4117" max="4118" width="8.25" style="653" customWidth="1"/>
    <col min="4119" max="4120" width="10" style="653" customWidth="1"/>
    <col min="4121" max="4122" width="10.75" style="653" customWidth="1"/>
    <col min="4123" max="4123" width="9.75" style="653" customWidth="1"/>
    <col min="4124" max="4124" width="7" style="653" customWidth="1"/>
    <col min="4125" max="4125" width="10.25" style="653" customWidth="1"/>
    <col min="4126" max="4128" width="7" style="653" customWidth="1"/>
    <col min="4129" max="4129" width="11.75" style="653" bestFit="1" customWidth="1"/>
    <col min="4130" max="4130" width="16.25" style="653" customWidth="1"/>
    <col min="4131" max="4131" width="7.125" style="653" bestFit="1" customWidth="1"/>
    <col min="4132" max="4133" width="9" style="653"/>
    <col min="4134" max="4134" width="7.125" style="653" bestFit="1" customWidth="1"/>
    <col min="4135" max="4137" width="9" style="653"/>
    <col min="4138" max="4140" width="9.75" style="653" bestFit="1" customWidth="1"/>
    <col min="4141" max="4141" width="8.375" style="653" bestFit="1" customWidth="1"/>
    <col min="4142" max="4149" width="9.75" style="653" bestFit="1" customWidth="1"/>
    <col min="4150" max="4334" width="9" style="653"/>
    <col min="4335" max="4335" width="9" style="653" customWidth="1"/>
    <col min="4336" max="4336" width="7" style="653" customWidth="1"/>
    <col min="4337" max="4338" width="8" style="653" customWidth="1"/>
    <col min="4339" max="4339" width="10.125" style="653" customWidth="1"/>
    <col min="4340" max="4340" width="9.625" style="653" customWidth="1"/>
    <col min="4341" max="4341" width="11.875" style="653" customWidth="1"/>
    <col min="4342" max="4342" width="12.75" style="653" customWidth="1"/>
    <col min="4343" max="4343" width="9.25" style="653" customWidth="1"/>
    <col min="4344" max="4344" width="9.625" style="653" customWidth="1"/>
    <col min="4345" max="4345" width="7.75" style="653" customWidth="1"/>
    <col min="4346" max="4346" width="8.375" style="653" customWidth="1"/>
    <col min="4347" max="4347" width="5.875" style="653" customWidth="1"/>
    <col min="4348" max="4348" width="8.875" style="653" customWidth="1"/>
    <col min="4349" max="4349" width="9.25" style="653" customWidth="1"/>
    <col min="4350" max="4350" width="11.125" style="653" customWidth="1"/>
    <col min="4351" max="4351" width="11.875" style="653" customWidth="1"/>
    <col min="4352" max="4352" width="8.75" style="653" customWidth="1"/>
    <col min="4353" max="4353" width="10.25" style="653" customWidth="1"/>
    <col min="4354" max="4354" width="7" style="653" customWidth="1"/>
    <col min="4355" max="4355" width="8" style="653" customWidth="1"/>
    <col min="4356" max="4356" width="7.875" style="653" customWidth="1"/>
    <col min="4357" max="4357" width="11.125" style="653" customWidth="1"/>
    <col min="4358" max="4358" width="10.125" style="653" customWidth="1"/>
    <col min="4359" max="4359" width="11.875" style="653" customWidth="1"/>
    <col min="4360" max="4360" width="11.75" style="653" customWidth="1"/>
    <col min="4361" max="4361" width="9.75" style="653" customWidth="1"/>
    <col min="4362" max="4362" width="10.375" style="653" customWidth="1"/>
    <col min="4363" max="4364" width="7" style="653" customWidth="1"/>
    <col min="4365" max="4365" width="8.125" style="653" customWidth="1"/>
    <col min="4366" max="4366" width="10" style="653" customWidth="1"/>
    <col min="4367" max="4367" width="9.375" style="653" customWidth="1"/>
    <col min="4368" max="4368" width="10.375" style="653" customWidth="1"/>
    <col min="4369" max="4369" width="10.75" style="653" customWidth="1"/>
    <col min="4370" max="4370" width="9.75" style="653" customWidth="1"/>
    <col min="4371" max="4371" width="10.75" style="653" customWidth="1"/>
    <col min="4372" max="4372" width="7" style="653" customWidth="1"/>
    <col min="4373" max="4374" width="8.25" style="653" customWidth="1"/>
    <col min="4375" max="4376" width="10" style="653" customWidth="1"/>
    <col min="4377" max="4378" width="10.75" style="653" customWidth="1"/>
    <col min="4379" max="4379" width="9.75" style="653" customWidth="1"/>
    <col min="4380" max="4380" width="7" style="653" customWidth="1"/>
    <col min="4381" max="4381" width="10.25" style="653" customWidth="1"/>
    <col min="4382" max="4384" width="7" style="653" customWidth="1"/>
    <col min="4385" max="4385" width="11.75" style="653" bestFit="1" customWidth="1"/>
    <col min="4386" max="4386" width="16.25" style="653" customWidth="1"/>
    <col min="4387" max="4387" width="7.125" style="653" bestFit="1" customWidth="1"/>
    <col min="4388" max="4389" width="9" style="653"/>
    <col min="4390" max="4390" width="7.125" style="653" bestFit="1" customWidth="1"/>
    <col min="4391" max="4393" width="9" style="653"/>
    <col min="4394" max="4396" width="9.75" style="653" bestFit="1" customWidth="1"/>
    <col min="4397" max="4397" width="8.375" style="653" bestFit="1" customWidth="1"/>
    <col min="4398" max="4405" width="9.75" style="653" bestFit="1" customWidth="1"/>
    <col min="4406" max="4590" width="9" style="653"/>
    <col min="4591" max="4591" width="9" style="653" customWidth="1"/>
    <col min="4592" max="4592" width="7" style="653" customWidth="1"/>
    <col min="4593" max="4594" width="8" style="653" customWidth="1"/>
    <col min="4595" max="4595" width="10.125" style="653" customWidth="1"/>
    <col min="4596" max="4596" width="9.625" style="653" customWidth="1"/>
    <col min="4597" max="4597" width="11.875" style="653" customWidth="1"/>
    <col min="4598" max="4598" width="12.75" style="653" customWidth="1"/>
    <col min="4599" max="4599" width="9.25" style="653" customWidth="1"/>
    <col min="4600" max="4600" width="9.625" style="653" customWidth="1"/>
    <col min="4601" max="4601" width="7.75" style="653" customWidth="1"/>
    <col min="4602" max="4602" width="8.375" style="653" customWidth="1"/>
    <col min="4603" max="4603" width="5.875" style="653" customWidth="1"/>
    <col min="4604" max="4604" width="8.875" style="653" customWidth="1"/>
    <col min="4605" max="4605" width="9.25" style="653" customWidth="1"/>
    <col min="4606" max="4606" width="11.125" style="653" customWidth="1"/>
    <col min="4607" max="4607" width="11.875" style="653" customWidth="1"/>
    <col min="4608" max="4608" width="8.75" style="653" customWidth="1"/>
    <col min="4609" max="4609" width="10.25" style="653" customWidth="1"/>
    <col min="4610" max="4610" width="7" style="653" customWidth="1"/>
    <col min="4611" max="4611" width="8" style="653" customWidth="1"/>
    <col min="4612" max="4612" width="7.875" style="653" customWidth="1"/>
    <col min="4613" max="4613" width="11.125" style="653" customWidth="1"/>
    <col min="4614" max="4614" width="10.125" style="653" customWidth="1"/>
    <col min="4615" max="4615" width="11.875" style="653" customWidth="1"/>
    <col min="4616" max="4616" width="11.75" style="653" customWidth="1"/>
    <col min="4617" max="4617" width="9.75" style="653" customWidth="1"/>
    <col min="4618" max="4618" width="10.375" style="653" customWidth="1"/>
    <col min="4619" max="4620" width="7" style="653" customWidth="1"/>
    <col min="4621" max="4621" width="8.125" style="653" customWidth="1"/>
    <col min="4622" max="4622" width="10" style="653" customWidth="1"/>
    <col min="4623" max="4623" width="9.375" style="653" customWidth="1"/>
    <col min="4624" max="4624" width="10.375" style="653" customWidth="1"/>
    <col min="4625" max="4625" width="10.75" style="653" customWidth="1"/>
    <col min="4626" max="4626" width="9.75" style="653" customWidth="1"/>
    <col min="4627" max="4627" width="10.75" style="653" customWidth="1"/>
    <col min="4628" max="4628" width="7" style="653" customWidth="1"/>
    <col min="4629" max="4630" width="8.25" style="653" customWidth="1"/>
    <col min="4631" max="4632" width="10" style="653" customWidth="1"/>
    <col min="4633" max="4634" width="10.75" style="653" customWidth="1"/>
    <col min="4635" max="4635" width="9.75" style="653" customWidth="1"/>
    <col min="4636" max="4636" width="7" style="653" customWidth="1"/>
    <col min="4637" max="4637" width="10.25" style="653" customWidth="1"/>
    <col min="4638" max="4640" width="7" style="653" customWidth="1"/>
    <col min="4641" max="4641" width="11.75" style="653" bestFit="1" customWidth="1"/>
    <col min="4642" max="4642" width="16.25" style="653" customWidth="1"/>
    <col min="4643" max="4643" width="7.125" style="653" bestFit="1" customWidth="1"/>
    <col min="4644" max="4645" width="9" style="653"/>
    <col min="4646" max="4646" width="7.125" style="653" bestFit="1" customWidth="1"/>
    <col min="4647" max="4649" width="9" style="653"/>
    <col min="4650" max="4652" width="9.75" style="653" bestFit="1" customWidth="1"/>
    <col min="4653" max="4653" width="8.375" style="653" bestFit="1" customWidth="1"/>
    <col min="4654" max="4661" width="9.75" style="653" bestFit="1" customWidth="1"/>
    <col min="4662" max="4846" width="9" style="653"/>
    <col min="4847" max="4847" width="9" style="653" customWidth="1"/>
    <col min="4848" max="4848" width="7" style="653" customWidth="1"/>
    <col min="4849" max="4850" width="8" style="653" customWidth="1"/>
    <col min="4851" max="4851" width="10.125" style="653" customWidth="1"/>
    <col min="4852" max="4852" width="9.625" style="653" customWidth="1"/>
    <col min="4853" max="4853" width="11.875" style="653" customWidth="1"/>
    <col min="4854" max="4854" width="12.75" style="653" customWidth="1"/>
    <col min="4855" max="4855" width="9.25" style="653" customWidth="1"/>
    <col min="4856" max="4856" width="9.625" style="653" customWidth="1"/>
    <col min="4857" max="4857" width="7.75" style="653" customWidth="1"/>
    <col min="4858" max="4858" width="8.375" style="653" customWidth="1"/>
    <col min="4859" max="4859" width="5.875" style="653" customWidth="1"/>
    <col min="4860" max="4860" width="8.875" style="653" customWidth="1"/>
    <col min="4861" max="4861" width="9.25" style="653" customWidth="1"/>
    <col min="4862" max="4862" width="11.125" style="653" customWidth="1"/>
    <col min="4863" max="4863" width="11.875" style="653" customWidth="1"/>
    <col min="4864" max="4864" width="8.75" style="653" customWidth="1"/>
    <col min="4865" max="4865" width="10.25" style="653" customWidth="1"/>
    <col min="4866" max="4866" width="7" style="653" customWidth="1"/>
    <col min="4867" max="4867" width="8" style="653" customWidth="1"/>
    <col min="4868" max="4868" width="7.875" style="653" customWidth="1"/>
    <col min="4869" max="4869" width="11.125" style="653" customWidth="1"/>
    <col min="4870" max="4870" width="10.125" style="653" customWidth="1"/>
    <col min="4871" max="4871" width="11.875" style="653" customWidth="1"/>
    <col min="4872" max="4872" width="11.75" style="653" customWidth="1"/>
    <col min="4873" max="4873" width="9.75" style="653" customWidth="1"/>
    <col min="4874" max="4874" width="10.375" style="653" customWidth="1"/>
    <col min="4875" max="4876" width="7" style="653" customWidth="1"/>
    <col min="4877" max="4877" width="8.125" style="653" customWidth="1"/>
    <col min="4878" max="4878" width="10" style="653" customWidth="1"/>
    <col min="4879" max="4879" width="9.375" style="653" customWidth="1"/>
    <col min="4880" max="4880" width="10.375" style="653" customWidth="1"/>
    <col min="4881" max="4881" width="10.75" style="653" customWidth="1"/>
    <col min="4882" max="4882" width="9.75" style="653" customWidth="1"/>
    <col min="4883" max="4883" width="10.75" style="653" customWidth="1"/>
    <col min="4884" max="4884" width="7" style="653" customWidth="1"/>
    <col min="4885" max="4886" width="8.25" style="653" customWidth="1"/>
    <col min="4887" max="4888" width="10" style="653" customWidth="1"/>
    <col min="4889" max="4890" width="10.75" style="653" customWidth="1"/>
    <col min="4891" max="4891" width="9.75" style="653" customWidth="1"/>
    <col min="4892" max="4892" width="7" style="653" customWidth="1"/>
    <col min="4893" max="4893" width="10.25" style="653" customWidth="1"/>
    <col min="4894" max="4896" width="7" style="653" customWidth="1"/>
    <col min="4897" max="4897" width="11.75" style="653" bestFit="1" customWidth="1"/>
    <col min="4898" max="4898" width="16.25" style="653" customWidth="1"/>
    <col min="4899" max="4899" width="7.125" style="653" bestFit="1" customWidth="1"/>
    <col min="4900" max="4901" width="9" style="653"/>
    <col min="4902" max="4902" width="7.125" style="653" bestFit="1" customWidth="1"/>
    <col min="4903" max="4905" width="9" style="653"/>
    <col min="4906" max="4908" width="9.75" style="653" bestFit="1" customWidth="1"/>
    <col min="4909" max="4909" width="8.375" style="653" bestFit="1" customWidth="1"/>
    <col min="4910" max="4917" width="9.75" style="653" bestFit="1" customWidth="1"/>
    <col min="4918" max="5102" width="9" style="653"/>
    <col min="5103" max="5103" width="9" style="653" customWidth="1"/>
    <col min="5104" max="5104" width="7" style="653" customWidth="1"/>
    <col min="5105" max="5106" width="8" style="653" customWidth="1"/>
    <col min="5107" max="5107" width="10.125" style="653" customWidth="1"/>
    <col min="5108" max="5108" width="9.625" style="653" customWidth="1"/>
    <col min="5109" max="5109" width="11.875" style="653" customWidth="1"/>
    <col min="5110" max="5110" width="12.75" style="653" customWidth="1"/>
    <col min="5111" max="5111" width="9.25" style="653" customWidth="1"/>
    <col min="5112" max="5112" width="9.625" style="653" customWidth="1"/>
    <col min="5113" max="5113" width="7.75" style="653" customWidth="1"/>
    <col min="5114" max="5114" width="8.375" style="653" customWidth="1"/>
    <col min="5115" max="5115" width="5.875" style="653" customWidth="1"/>
    <col min="5116" max="5116" width="8.875" style="653" customWidth="1"/>
    <col min="5117" max="5117" width="9.25" style="653" customWidth="1"/>
    <col min="5118" max="5118" width="11.125" style="653" customWidth="1"/>
    <col min="5119" max="5119" width="11.875" style="653" customWidth="1"/>
    <col min="5120" max="5120" width="8.75" style="653" customWidth="1"/>
    <col min="5121" max="5121" width="10.25" style="653" customWidth="1"/>
    <col min="5122" max="5122" width="7" style="653" customWidth="1"/>
    <col min="5123" max="5123" width="8" style="653" customWidth="1"/>
    <col min="5124" max="5124" width="7.875" style="653" customWidth="1"/>
    <col min="5125" max="5125" width="11.125" style="653" customWidth="1"/>
    <col min="5126" max="5126" width="10.125" style="653" customWidth="1"/>
    <col min="5127" max="5127" width="11.875" style="653" customWidth="1"/>
    <col min="5128" max="5128" width="11.75" style="653" customWidth="1"/>
    <col min="5129" max="5129" width="9.75" style="653" customWidth="1"/>
    <col min="5130" max="5130" width="10.375" style="653" customWidth="1"/>
    <col min="5131" max="5132" width="7" style="653" customWidth="1"/>
    <col min="5133" max="5133" width="8.125" style="653" customWidth="1"/>
    <col min="5134" max="5134" width="10" style="653" customWidth="1"/>
    <col min="5135" max="5135" width="9.375" style="653" customWidth="1"/>
    <col min="5136" max="5136" width="10.375" style="653" customWidth="1"/>
    <col min="5137" max="5137" width="10.75" style="653" customWidth="1"/>
    <col min="5138" max="5138" width="9.75" style="653" customWidth="1"/>
    <col min="5139" max="5139" width="10.75" style="653" customWidth="1"/>
    <col min="5140" max="5140" width="7" style="653" customWidth="1"/>
    <col min="5141" max="5142" width="8.25" style="653" customWidth="1"/>
    <col min="5143" max="5144" width="10" style="653" customWidth="1"/>
    <col min="5145" max="5146" width="10.75" style="653" customWidth="1"/>
    <col min="5147" max="5147" width="9.75" style="653" customWidth="1"/>
    <col min="5148" max="5148" width="7" style="653" customWidth="1"/>
    <col min="5149" max="5149" width="10.25" style="653" customWidth="1"/>
    <col min="5150" max="5152" width="7" style="653" customWidth="1"/>
    <col min="5153" max="5153" width="11.75" style="653" bestFit="1" customWidth="1"/>
    <col min="5154" max="5154" width="16.25" style="653" customWidth="1"/>
    <col min="5155" max="5155" width="7.125" style="653" bestFit="1" customWidth="1"/>
    <col min="5156" max="5157" width="9" style="653"/>
    <col min="5158" max="5158" width="7.125" style="653" bestFit="1" customWidth="1"/>
    <col min="5159" max="5161" width="9" style="653"/>
    <col min="5162" max="5164" width="9.75" style="653" bestFit="1" customWidth="1"/>
    <col min="5165" max="5165" width="8.375" style="653" bestFit="1" customWidth="1"/>
    <col min="5166" max="5173" width="9.75" style="653" bestFit="1" customWidth="1"/>
    <col min="5174" max="5358" width="9" style="653"/>
    <col min="5359" max="5359" width="9" style="653" customWidth="1"/>
    <col min="5360" max="5360" width="7" style="653" customWidth="1"/>
    <col min="5361" max="5362" width="8" style="653" customWidth="1"/>
    <col min="5363" max="5363" width="10.125" style="653" customWidth="1"/>
    <col min="5364" max="5364" width="9.625" style="653" customWidth="1"/>
    <col min="5365" max="5365" width="11.875" style="653" customWidth="1"/>
    <col min="5366" max="5366" width="12.75" style="653" customWidth="1"/>
    <col min="5367" max="5367" width="9.25" style="653" customWidth="1"/>
    <col min="5368" max="5368" width="9.625" style="653" customWidth="1"/>
    <col min="5369" max="5369" width="7.75" style="653" customWidth="1"/>
    <col min="5370" max="5370" width="8.375" style="653" customWidth="1"/>
    <col min="5371" max="5371" width="5.875" style="653" customWidth="1"/>
    <col min="5372" max="5372" width="8.875" style="653" customWidth="1"/>
    <col min="5373" max="5373" width="9.25" style="653" customWidth="1"/>
    <col min="5374" max="5374" width="11.125" style="653" customWidth="1"/>
    <col min="5375" max="5375" width="11.875" style="653" customWidth="1"/>
    <col min="5376" max="5376" width="8.75" style="653" customWidth="1"/>
    <col min="5377" max="5377" width="10.25" style="653" customWidth="1"/>
    <col min="5378" max="5378" width="7" style="653" customWidth="1"/>
    <col min="5379" max="5379" width="8" style="653" customWidth="1"/>
    <col min="5380" max="5380" width="7.875" style="653" customWidth="1"/>
    <col min="5381" max="5381" width="11.125" style="653" customWidth="1"/>
    <col min="5382" max="5382" width="10.125" style="653" customWidth="1"/>
    <col min="5383" max="5383" width="11.875" style="653" customWidth="1"/>
    <col min="5384" max="5384" width="11.75" style="653" customWidth="1"/>
    <col min="5385" max="5385" width="9.75" style="653" customWidth="1"/>
    <col min="5386" max="5386" width="10.375" style="653" customWidth="1"/>
    <col min="5387" max="5388" width="7" style="653" customWidth="1"/>
    <col min="5389" max="5389" width="8.125" style="653" customWidth="1"/>
    <col min="5390" max="5390" width="10" style="653" customWidth="1"/>
    <col min="5391" max="5391" width="9.375" style="653" customWidth="1"/>
    <col min="5392" max="5392" width="10.375" style="653" customWidth="1"/>
    <col min="5393" max="5393" width="10.75" style="653" customWidth="1"/>
    <col min="5394" max="5394" width="9.75" style="653" customWidth="1"/>
    <col min="5395" max="5395" width="10.75" style="653" customWidth="1"/>
    <col min="5396" max="5396" width="7" style="653" customWidth="1"/>
    <col min="5397" max="5398" width="8.25" style="653" customWidth="1"/>
    <col min="5399" max="5400" width="10" style="653" customWidth="1"/>
    <col min="5401" max="5402" width="10.75" style="653" customWidth="1"/>
    <col min="5403" max="5403" width="9.75" style="653" customWidth="1"/>
    <col min="5404" max="5404" width="7" style="653" customWidth="1"/>
    <col min="5405" max="5405" width="10.25" style="653" customWidth="1"/>
    <col min="5406" max="5408" width="7" style="653" customWidth="1"/>
    <col min="5409" max="5409" width="11.75" style="653" bestFit="1" customWidth="1"/>
    <col min="5410" max="5410" width="16.25" style="653" customWidth="1"/>
    <col min="5411" max="5411" width="7.125" style="653" bestFit="1" customWidth="1"/>
    <col min="5412" max="5413" width="9" style="653"/>
    <col min="5414" max="5414" width="7.125" style="653" bestFit="1" customWidth="1"/>
    <col min="5415" max="5417" width="9" style="653"/>
    <col min="5418" max="5420" width="9.75" style="653" bestFit="1" customWidth="1"/>
    <col min="5421" max="5421" width="8.375" style="653" bestFit="1" customWidth="1"/>
    <col min="5422" max="5429" width="9.75" style="653" bestFit="1" customWidth="1"/>
    <col min="5430" max="5614" width="9" style="653"/>
    <col min="5615" max="5615" width="9" style="653" customWidth="1"/>
    <col min="5616" max="5616" width="7" style="653" customWidth="1"/>
    <col min="5617" max="5618" width="8" style="653" customWidth="1"/>
    <col min="5619" max="5619" width="10.125" style="653" customWidth="1"/>
    <col min="5620" max="5620" width="9.625" style="653" customWidth="1"/>
    <col min="5621" max="5621" width="11.875" style="653" customWidth="1"/>
    <col min="5622" max="5622" width="12.75" style="653" customWidth="1"/>
    <col min="5623" max="5623" width="9.25" style="653" customWidth="1"/>
    <col min="5624" max="5624" width="9.625" style="653" customWidth="1"/>
    <col min="5625" max="5625" width="7.75" style="653" customWidth="1"/>
    <col min="5626" max="5626" width="8.375" style="653" customWidth="1"/>
    <col min="5627" max="5627" width="5.875" style="653" customWidth="1"/>
    <col min="5628" max="5628" width="8.875" style="653" customWidth="1"/>
    <col min="5629" max="5629" width="9.25" style="653" customWidth="1"/>
    <col min="5630" max="5630" width="11.125" style="653" customWidth="1"/>
    <col min="5631" max="5631" width="11.875" style="653" customWidth="1"/>
    <col min="5632" max="5632" width="8.75" style="653" customWidth="1"/>
    <col min="5633" max="5633" width="10.25" style="653" customWidth="1"/>
    <col min="5634" max="5634" width="7" style="653" customWidth="1"/>
    <col min="5635" max="5635" width="8" style="653" customWidth="1"/>
    <col min="5636" max="5636" width="7.875" style="653" customWidth="1"/>
    <col min="5637" max="5637" width="11.125" style="653" customWidth="1"/>
    <col min="5638" max="5638" width="10.125" style="653" customWidth="1"/>
    <col min="5639" max="5639" width="11.875" style="653" customWidth="1"/>
    <col min="5640" max="5640" width="11.75" style="653" customWidth="1"/>
    <col min="5641" max="5641" width="9.75" style="653" customWidth="1"/>
    <col min="5642" max="5642" width="10.375" style="653" customWidth="1"/>
    <col min="5643" max="5644" width="7" style="653" customWidth="1"/>
    <col min="5645" max="5645" width="8.125" style="653" customWidth="1"/>
    <col min="5646" max="5646" width="10" style="653" customWidth="1"/>
    <col min="5647" max="5647" width="9.375" style="653" customWidth="1"/>
    <col min="5648" max="5648" width="10.375" style="653" customWidth="1"/>
    <col min="5649" max="5649" width="10.75" style="653" customWidth="1"/>
    <col min="5650" max="5650" width="9.75" style="653" customWidth="1"/>
    <col min="5651" max="5651" width="10.75" style="653" customWidth="1"/>
    <col min="5652" max="5652" width="7" style="653" customWidth="1"/>
    <col min="5653" max="5654" width="8.25" style="653" customWidth="1"/>
    <col min="5655" max="5656" width="10" style="653" customWidth="1"/>
    <col min="5657" max="5658" width="10.75" style="653" customWidth="1"/>
    <col min="5659" max="5659" width="9.75" style="653" customWidth="1"/>
    <col min="5660" max="5660" width="7" style="653" customWidth="1"/>
    <col min="5661" max="5661" width="10.25" style="653" customWidth="1"/>
    <col min="5662" max="5664" width="7" style="653" customWidth="1"/>
    <col min="5665" max="5665" width="11.75" style="653" bestFit="1" customWidth="1"/>
    <col min="5666" max="5666" width="16.25" style="653" customWidth="1"/>
    <col min="5667" max="5667" width="7.125" style="653" bestFit="1" customWidth="1"/>
    <col min="5668" max="5669" width="9" style="653"/>
    <col min="5670" max="5670" width="7.125" style="653" bestFit="1" customWidth="1"/>
    <col min="5671" max="5673" width="9" style="653"/>
    <col min="5674" max="5676" width="9.75" style="653" bestFit="1" customWidth="1"/>
    <col min="5677" max="5677" width="8.375" style="653" bestFit="1" customWidth="1"/>
    <col min="5678" max="5685" width="9.75" style="653" bestFit="1" customWidth="1"/>
    <col min="5686" max="5870" width="9" style="653"/>
    <col min="5871" max="5871" width="9" style="653" customWidth="1"/>
    <col min="5872" max="5872" width="7" style="653" customWidth="1"/>
    <col min="5873" max="5874" width="8" style="653" customWidth="1"/>
    <col min="5875" max="5875" width="10.125" style="653" customWidth="1"/>
    <col min="5876" max="5876" width="9.625" style="653" customWidth="1"/>
    <col min="5877" max="5877" width="11.875" style="653" customWidth="1"/>
    <col min="5878" max="5878" width="12.75" style="653" customWidth="1"/>
    <col min="5879" max="5879" width="9.25" style="653" customWidth="1"/>
    <col min="5880" max="5880" width="9.625" style="653" customWidth="1"/>
    <col min="5881" max="5881" width="7.75" style="653" customWidth="1"/>
    <col min="5882" max="5882" width="8.375" style="653" customWidth="1"/>
    <col min="5883" max="5883" width="5.875" style="653" customWidth="1"/>
    <col min="5884" max="5884" width="8.875" style="653" customWidth="1"/>
    <col min="5885" max="5885" width="9.25" style="653" customWidth="1"/>
    <col min="5886" max="5886" width="11.125" style="653" customWidth="1"/>
    <col min="5887" max="5887" width="11.875" style="653" customWidth="1"/>
    <col min="5888" max="5888" width="8.75" style="653" customWidth="1"/>
    <col min="5889" max="5889" width="10.25" style="653" customWidth="1"/>
    <col min="5890" max="5890" width="7" style="653" customWidth="1"/>
    <col min="5891" max="5891" width="8" style="653" customWidth="1"/>
    <col min="5892" max="5892" width="7.875" style="653" customWidth="1"/>
    <col min="5893" max="5893" width="11.125" style="653" customWidth="1"/>
    <col min="5894" max="5894" width="10.125" style="653" customWidth="1"/>
    <col min="5895" max="5895" width="11.875" style="653" customWidth="1"/>
    <col min="5896" max="5896" width="11.75" style="653" customWidth="1"/>
    <col min="5897" max="5897" width="9.75" style="653" customWidth="1"/>
    <col min="5898" max="5898" width="10.375" style="653" customWidth="1"/>
    <col min="5899" max="5900" width="7" style="653" customWidth="1"/>
    <col min="5901" max="5901" width="8.125" style="653" customWidth="1"/>
    <col min="5902" max="5902" width="10" style="653" customWidth="1"/>
    <col min="5903" max="5903" width="9.375" style="653" customWidth="1"/>
    <col min="5904" max="5904" width="10.375" style="653" customWidth="1"/>
    <col min="5905" max="5905" width="10.75" style="653" customWidth="1"/>
    <col min="5906" max="5906" width="9.75" style="653" customWidth="1"/>
    <col min="5907" max="5907" width="10.75" style="653" customWidth="1"/>
    <col min="5908" max="5908" width="7" style="653" customWidth="1"/>
    <col min="5909" max="5910" width="8.25" style="653" customWidth="1"/>
    <col min="5911" max="5912" width="10" style="653" customWidth="1"/>
    <col min="5913" max="5914" width="10.75" style="653" customWidth="1"/>
    <col min="5915" max="5915" width="9.75" style="653" customWidth="1"/>
    <col min="5916" max="5916" width="7" style="653" customWidth="1"/>
    <col min="5917" max="5917" width="10.25" style="653" customWidth="1"/>
    <col min="5918" max="5920" width="7" style="653" customWidth="1"/>
    <col min="5921" max="5921" width="11.75" style="653" bestFit="1" customWidth="1"/>
    <col min="5922" max="5922" width="16.25" style="653" customWidth="1"/>
    <col min="5923" max="5923" width="7.125" style="653" bestFit="1" customWidth="1"/>
    <col min="5924" max="5925" width="9" style="653"/>
    <col min="5926" max="5926" width="7.125" style="653" bestFit="1" customWidth="1"/>
    <col min="5927" max="5929" width="9" style="653"/>
    <col min="5930" max="5932" width="9.75" style="653" bestFit="1" customWidth="1"/>
    <col min="5933" max="5933" width="8.375" style="653" bestFit="1" customWidth="1"/>
    <col min="5934" max="5941" width="9.75" style="653" bestFit="1" customWidth="1"/>
    <col min="5942" max="6126" width="9" style="653"/>
    <col min="6127" max="6127" width="9" style="653" customWidth="1"/>
    <col min="6128" max="6128" width="7" style="653" customWidth="1"/>
    <col min="6129" max="6130" width="8" style="653" customWidth="1"/>
    <col min="6131" max="6131" width="10.125" style="653" customWidth="1"/>
    <col min="6132" max="6132" width="9.625" style="653" customWidth="1"/>
    <col min="6133" max="6133" width="11.875" style="653" customWidth="1"/>
    <col min="6134" max="6134" width="12.75" style="653" customWidth="1"/>
    <col min="6135" max="6135" width="9.25" style="653" customWidth="1"/>
    <col min="6136" max="6136" width="9.625" style="653" customWidth="1"/>
    <col min="6137" max="6137" width="7.75" style="653" customWidth="1"/>
    <col min="6138" max="6138" width="8.375" style="653" customWidth="1"/>
    <col min="6139" max="6139" width="5.875" style="653" customWidth="1"/>
    <col min="6140" max="6140" width="8.875" style="653" customWidth="1"/>
    <col min="6141" max="6141" width="9.25" style="653" customWidth="1"/>
    <col min="6142" max="6142" width="11.125" style="653" customWidth="1"/>
    <col min="6143" max="6143" width="11.875" style="653" customWidth="1"/>
    <col min="6144" max="6144" width="8.75" style="653" customWidth="1"/>
    <col min="6145" max="6145" width="10.25" style="653" customWidth="1"/>
    <col min="6146" max="6146" width="7" style="653" customWidth="1"/>
    <col min="6147" max="6147" width="8" style="653" customWidth="1"/>
    <col min="6148" max="6148" width="7.875" style="653" customWidth="1"/>
    <col min="6149" max="6149" width="11.125" style="653" customWidth="1"/>
    <col min="6150" max="6150" width="10.125" style="653" customWidth="1"/>
    <col min="6151" max="6151" width="11.875" style="653" customWidth="1"/>
    <col min="6152" max="6152" width="11.75" style="653" customWidth="1"/>
    <col min="6153" max="6153" width="9.75" style="653" customWidth="1"/>
    <col min="6154" max="6154" width="10.375" style="653" customWidth="1"/>
    <col min="6155" max="6156" width="7" style="653" customWidth="1"/>
    <col min="6157" max="6157" width="8.125" style="653" customWidth="1"/>
    <col min="6158" max="6158" width="10" style="653" customWidth="1"/>
    <col min="6159" max="6159" width="9.375" style="653" customWidth="1"/>
    <col min="6160" max="6160" width="10.375" style="653" customWidth="1"/>
    <col min="6161" max="6161" width="10.75" style="653" customWidth="1"/>
    <col min="6162" max="6162" width="9.75" style="653" customWidth="1"/>
    <col min="6163" max="6163" width="10.75" style="653" customWidth="1"/>
    <col min="6164" max="6164" width="7" style="653" customWidth="1"/>
    <col min="6165" max="6166" width="8.25" style="653" customWidth="1"/>
    <col min="6167" max="6168" width="10" style="653" customWidth="1"/>
    <col min="6169" max="6170" width="10.75" style="653" customWidth="1"/>
    <col min="6171" max="6171" width="9.75" style="653" customWidth="1"/>
    <col min="6172" max="6172" width="7" style="653" customWidth="1"/>
    <col min="6173" max="6173" width="10.25" style="653" customWidth="1"/>
    <col min="6174" max="6176" width="7" style="653" customWidth="1"/>
    <col min="6177" max="6177" width="11.75" style="653" bestFit="1" customWidth="1"/>
    <col min="6178" max="6178" width="16.25" style="653" customWidth="1"/>
    <col min="6179" max="6179" width="7.125" style="653" bestFit="1" customWidth="1"/>
    <col min="6180" max="6181" width="9" style="653"/>
    <col min="6182" max="6182" width="7.125" style="653" bestFit="1" customWidth="1"/>
    <col min="6183" max="6185" width="9" style="653"/>
    <col min="6186" max="6188" width="9.75" style="653" bestFit="1" customWidth="1"/>
    <col min="6189" max="6189" width="8.375" style="653" bestFit="1" customWidth="1"/>
    <col min="6190" max="6197" width="9.75" style="653" bestFit="1" customWidth="1"/>
    <col min="6198" max="6382" width="9" style="653"/>
    <col min="6383" max="6383" width="9" style="653" customWidth="1"/>
    <col min="6384" max="6384" width="7" style="653" customWidth="1"/>
    <col min="6385" max="6386" width="8" style="653" customWidth="1"/>
    <col min="6387" max="6387" width="10.125" style="653" customWidth="1"/>
    <col min="6388" max="6388" width="9.625" style="653" customWidth="1"/>
    <col min="6389" max="6389" width="11.875" style="653" customWidth="1"/>
    <col min="6390" max="6390" width="12.75" style="653" customWidth="1"/>
    <col min="6391" max="6391" width="9.25" style="653" customWidth="1"/>
    <col min="6392" max="6392" width="9.625" style="653" customWidth="1"/>
    <col min="6393" max="6393" width="7.75" style="653" customWidth="1"/>
    <col min="6394" max="6394" width="8.375" style="653" customWidth="1"/>
    <col min="6395" max="6395" width="5.875" style="653" customWidth="1"/>
    <col min="6396" max="6396" width="8.875" style="653" customWidth="1"/>
    <col min="6397" max="6397" width="9.25" style="653" customWidth="1"/>
    <col min="6398" max="6398" width="11.125" style="653" customWidth="1"/>
    <col min="6399" max="6399" width="11.875" style="653" customWidth="1"/>
    <col min="6400" max="6400" width="8.75" style="653" customWidth="1"/>
    <col min="6401" max="6401" width="10.25" style="653" customWidth="1"/>
    <col min="6402" max="6402" width="7" style="653" customWidth="1"/>
    <col min="6403" max="6403" width="8" style="653" customWidth="1"/>
    <col min="6404" max="6404" width="7.875" style="653" customWidth="1"/>
    <col min="6405" max="6405" width="11.125" style="653" customWidth="1"/>
    <col min="6406" max="6406" width="10.125" style="653" customWidth="1"/>
    <col min="6407" max="6407" width="11.875" style="653" customWidth="1"/>
    <col min="6408" max="6408" width="11.75" style="653" customWidth="1"/>
    <col min="6409" max="6409" width="9.75" style="653" customWidth="1"/>
    <col min="6410" max="6410" width="10.375" style="653" customWidth="1"/>
    <col min="6411" max="6412" width="7" style="653" customWidth="1"/>
    <col min="6413" max="6413" width="8.125" style="653" customWidth="1"/>
    <col min="6414" max="6414" width="10" style="653" customWidth="1"/>
    <col min="6415" max="6415" width="9.375" style="653" customWidth="1"/>
    <col min="6416" max="6416" width="10.375" style="653" customWidth="1"/>
    <col min="6417" max="6417" width="10.75" style="653" customWidth="1"/>
    <col min="6418" max="6418" width="9.75" style="653" customWidth="1"/>
    <col min="6419" max="6419" width="10.75" style="653" customWidth="1"/>
    <col min="6420" max="6420" width="7" style="653" customWidth="1"/>
    <col min="6421" max="6422" width="8.25" style="653" customWidth="1"/>
    <col min="6423" max="6424" width="10" style="653" customWidth="1"/>
    <col min="6425" max="6426" width="10.75" style="653" customWidth="1"/>
    <col min="6427" max="6427" width="9.75" style="653" customWidth="1"/>
    <col min="6428" max="6428" width="7" style="653" customWidth="1"/>
    <col min="6429" max="6429" width="10.25" style="653" customWidth="1"/>
    <col min="6430" max="6432" width="7" style="653" customWidth="1"/>
    <col min="6433" max="6433" width="11.75" style="653" bestFit="1" customWidth="1"/>
    <col min="6434" max="6434" width="16.25" style="653" customWidth="1"/>
    <col min="6435" max="6435" width="7.125" style="653" bestFit="1" customWidth="1"/>
    <col min="6436" max="6437" width="9" style="653"/>
    <col min="6438" max="6438" width="7.125" style="653" bestFit="1" customWidth="1"/>
    <col min="6439" max="6441" width="9" style="653"/>
    <col min="6442" max="6444" width="9.75" style="653" bestFit="1" customWidth="1"/>
    <col min="6445" max="6445" width="8.375" style="653" bestFit="1" customWidth="1"/>
    <col min="6446" max="6453" width="9.75" style="653" bestFit="1" customWidth="1"/>
    <col min="6454" max="6638" width="9" style="653"/>
    <col min="6639" max="6639" width="9" style="653" customWidth="1"/>
    <col min="6640" max="6640" width="7" style="653" customWidth="1"/>
    <col min="6641" max="6642" width="8" style="653" customWidth="1"/>
    <col min="6643" max="6643" width="10.125" style="653" customWidth="1"/>
    <col min="6644" max="6644" width="9.625" style="653" customWidth="1"/>
    <col min="6645" max="6645" width="11.875" style="653" customWidth="1"/>
    <col min="6646" max="6646" width="12.75" style="653" customWidth="1"/>
    <col min="6647" max="6647" width="9.25" style="653" customWidth="1"/>
    <col min="6648" max="6648" width="9.625" style="653" customWidth="1"/>
    <col min="6649" max="6649" width="7.75" style="653" customWidth="1"/>
    <col min="6650" max="6650" width="8.375" style="653" customWidth="1"/>
    <col min="6651" max="6651" width="5.875" style="653" customWidth="1"/>
    <col min="6652" max="6652" width="8.875" style="653" customWidth="1"/>
    <col min="6653" max="6653" width="9.25" style="653" customWidth="1"/>
    <col min="6654" max="6654" width="11.125" style="653" customWidth="1"/>
    <col min="6655" max="6655" width="11.875" style="653" customWidth="1"/>
    <col min="6656" max="6656" width="8.75" style="653" customWidth="1"/>
    <col min="6657" max="6657" width="10.25" style="653" customWidth="1"/>
    <col min="6658" max="6658" width="7" style="653" customWidth="1"/>
    <col min="6659" max="6659" width="8" style="653" customWidth="1"/>
    <col min="6660" max="6660" width="7.875" style="653" customWidth="1"/>
    <col min="6661" max="6661" width="11.125" style="653" customWidth="1"/>
    <col min="6662" max="6662" width="10.125" style="653" customWidth="1"/>
    <col min="6663" max="6663" width="11.875" style="653" customWidth="1"/>
    <col min="6664" max="6664" width="11.75" style="653" customWidth="1"/>
    <col min="6665" max="6665" width="9.75" style="653" customWidth="1"/>
    <col min="6666" max="6666" width="10.375" style="653" customWidth="1"/>
    <col min="6667" max="6668" width="7" style="653" customWidth="1"/>
    <col min="6669" max="6669" width="8.125" style="653" customWidth="1"/>
    <col min="6670" max="6670" width="10" style="653" customWidth="1"/>
    <col min="6671" max="6671" width="9.375" style="653" customWidth="1"/>
    <col min="6672" max="6672" width="10.375" style="653" customWidth="1"/>
    <col min="6673" max="6673" width="10.75" style="653" customWidth="1"/>
    <col min="6674" max="6674" width="9.75" style="653" customWidth="1"/>
    <col min="6675" max="6675" width="10.75" style="653" customWidth="1"/>
    <col min="6676" max="6676" width="7" style="653" customWidth="1"/>
    <col min="6677" max="6678" width="8.25" style="653" customWidth="1"/>
    <col min="6679" max="6680" width="10" style="653" customWidth="1"/>
    <col min="6681" max="6682" width="10.75" style="653" customWidth="1"/>
    <col min="6683" max="6683" width="9.75" style="653" customWidth="1"/>
    <col min="6684" max="6684" width="7" style="653" customWidth="1"/>
    <col min="6685" max="6685" width="10.25" style="653" customWidth="1"/>
    <col min="6686" max="6688" width="7" style="653" customWidth="1"/>
    <col min="6689" max="6689" width="11.75" style="653" bestFit="1" customWidth="1"/>
    <col min="6690" max="6690" width="16.25" style="653" customWidth="1"/>
    <col min="6691" max="6691" width="7.125" style="653" bestFit="1" customWidth="1"/>
    <col min="6692" max="6693" width="9" style="653"/>
    <col min="6694" max="6694" width="7.125" style="653" bestFit="1" customWidth="1"/>
    <col min="6695" max="6697" width="9" style="653"/>
    <col min="6698" max="6700" width="9.75" style="653" bestFit="1" customWidth="1"/>
    <col min="6701" max="6701" width="8.375" style="653" bestFit="1" customWidth="1"/>
    <col min="6702" max="6709" width="9.75" style="653" bestFit="1" customWidth="1"/>
    <col min="6710" max="6894" width="9" style="653"/>
    <col min="6895" max="6895" width="9" style="653" customWidth="1"/>
    <col min="6896" max="6896" width="7" style="653" customWidth="1"/>
    <col min="6897" max="6898" width="8" style="653" customWidth="1"/>
    <col min="6899" max="6899" width="10.125" style="653" customWidth="1"/>
    <col min="6900" max="6900" width="9.625" style="653" customWidth="1"/>
    <col min="6901" max="6901" width="11.875" style="653" customWidth="1"/>
    <col min="6902" max="6902" width="12.75" style="653" customWidth="1"/>
    <col min="6903" max="6903" width="9.25" style="653" customWidth="1"/>
    <col min="6904" max="6904" width="9.625" style="653" customWidth="1"/>
    <col min="6905" max="6905" width="7.75" style="653" customWidth="1"/>
    <col min="6906" max="6906" width="8.375" style="653" customWidth="1"/>
    <col min="6907" max="6907" width="5.875" style="653" customWidth="1"/>
    <col min="6908" max="6908" width="8.875" style="653" customWidth="1"/>
    <col min="6909" max="6909" width="9.25" style="653" customWidth="1"/>
    <col min="6910" max="6910" width="11.125" style="653" customWidth="1"/>
    <col min="6911" max="6911" width="11.875" style="653" customWidth="1"/>
    <col min="6912" max="6912" width="8.75" style="653" customWidth="1"/>
    <col min="6913" max="6913" width="10.25" style="653" customWidth="1"/>
    <col min="6914" max="6914" width="7" style="653" customWidth="1"/>
    <col min="6915" max="6915" width="8" style="653" customWidth="1"/>
    <col min="6916" max="6916" width="7.875" style="653" customWidth="1"/>
    <col min="6917" max="6917" width="11.125" style="653" customWidth="1"/>
    <col min="6918" max="6918" width="10.125" style="653" customWidth="1"/>
    <col min="6919" max="6919" width="11.875" style="653" customWidth="1"/>
    <col min="6920" max="6920" width="11.75" style="653" customWidth="1"/>
    <col min="6921" max="6921" width="9.75" style="653" customWidth="1"/>
    <col min="6922" max="6922" width="10.375" style="653" customWidth="1"/>
    <col min="6923" max="6924" width="7" style="653" customWidth="1"/>
    <col min="6925" max="6925" width="8.125" style="653" customWidth="1"/>
    <col min="6926" max="6926" width="10" style="653" customWidth="1"/>
    <col min="6927" max="6927" width="9.375" style="653" customWidth="1"/>
    <col min="6928" max="6928" width="10.375" style="653" customWidth="1"/>
    <col min="6929" max="6929" width="10.75" style="653" customWidth="1"/>
    <col min="6930" max="6930" width="9.75" style="653" customWidth="1"/>
    <col min="6931" max="6931" width="10.75" style="653" customWidth="1"/>
    <col min="6932" max="6932" width="7" style="653" customWidth="1"/>
    <col min="6933" max="6934" width="8.25" style="653" customWidth="1"/>
    <col min="6935" max="6936" width="10" style="653" customWidth="1"/>
    <col min="6937" max="6938" width="10.75" style="653" customWidth="1"/>
    <col min="6939" max="6939" width="9.75" style="653" customWidth="1"/>
    <col min="6940" max="6940" width="7" style="653" customWidth="1"/>
    <col min="6941" max="6941" width="10.25" style="653" customWidth="1"/>
    <col min="6942" max="6944" width="7" style="653" customWidth="1"/>
    <col min="6945" max="6945" width="11.75" style="653" bestFit="1" customWidth="1"/>
    <col min="6946" max="6946" width="16.25" style="653" customWidth="1"/>
    <col min="6947" max="6947" width="7.125" style="653" bestFit="1" customWidth="1"/>
    <col min="6948" max="6949" width="9" style="653"/>
    <col min="6950" max="6950" width="7.125" style="653" bestFit="1" customWidth="1"/>
    <col min="6951" max="6953" width="9" style="653"/>
    <col min="6954" max="6956" width="9.75" style="653" bestFit="1" customWidth="1"/>
    <col min="6957" max="6957" width="8.375" style="653" bestFit="1" customWidth="1"/>
    <col min="6958" max="6965" width="9.75" style="653" bestFit="1" customWidth="1"/>
    <col min="6966" max="7150" width="9" style="653"/>
    <col min="7151" max="7151" width="9" style="653" customWidth="1"/>
    <col min="7152" max="7152" width="7" style="653" customWidth="1"/>
    <col min="7153" max="7154" width="8" style="653" customWidth="1"/>
    <col min="7155" max="7155" width="10.125" style="653" customWidth="1"/>
    <col min="7156" max="7156" width="9.625" style="653" customWidth="1"/>
    <col min="7157" max="7157" width="11.875" style="653" customWidth="1"/>
    <col min="7158" max="7158" width="12.75" style="653" customWidth="1"/>
    <col min="7159" max="7159" width="9.25" style="653" customWidth="1"/>
    <col min="7160" max="7160" width="9.625" style="653" customWidth="1"/>
    <col min="7161" max="7161" width="7.75" style="653" customWidth="1"/>
    <col min="7162" max="7162" width="8.375" style="653" customWidth="1"/>
    <col min="7163" max="7163" width="5.875" style="653" customWidth="1"/>
    <col min="7164" max="7164" width="8.875" style="653" customWidth="1"/>
    <col min="7165" max="7165" width="9.25" style="653" customWidth="1"/>
    <col min="7166" max="7166" width="11.125" style="653" customWidth="1"/>
    <col min="7167" max="7167" width="11.875" style="653" customWidth="1"/>
    <col min="7168" max="7168" width="8.75" style="653" customWidth="1"/>
    <col min="7169" max="7169" width="10.25" style="653" customWidth="1"/>
    <col min="7170" max="7170" width="7" style="653" customWidth="1"/>
    <col min="7171" max="7171" width="8" style="653" customWidth="1"/>
    <col min="7172" max="7172" width="7.875" style="653" customWidth="1"/>
    <col min="7173" max="7173" width="11.125" style="653" customWidth="1"/>
    <col min="7174" max="7174" width="10.125" style="653" customWidth="1"/>
    <col min="7175" max="7175" width="11.875" style="653" customWidth="1"/>
    <col min="7176" max="7176" width="11.75" style="653" customWidth="1"/>
    <col min="7177" max="7177" width="9.75" style="653" customWidth="1"/>
    <col min="7178" max="7178" width="10.375" style="653" customWidth="1"/>
    <col min="7179" max="7180" width="7" style="653" customWidth="1"/>
    <col min="7181" max="7181" width="8.125" style="653" customWidth="1"/>
    <col min="7182" max="7182" width="10" style="653" customWidth="1"/>
    <col min="7183" max="7183" width="9.375" style="653" customWidth="1"/>
    <col min="7184" max="7184" width="10.375" style="653" customWidth="1"/>
    <col min="7185" max="7185" width="10.75" style="653" customWidth="1"/>
    <col min="7186" max="7186" width="9.75" style="653" customWidth="1"/>
    <col min="7187" max="7187" width="10.75" style="653" customWidth="1"/>
    <col min="7188" max="7188" width="7" style="653" customWidth="1"/>
    <col min="7189" max="7190" width="8.25" style="653" customWidth="1"/>
    <col min="7191" max="7192" width="10" style="653" customWidth="1"/>
    <col min="7193" max="7194" width="10.75" style="653" customWidth="1"/>
    <col min="7195" max="7195" width="9.75" style="653" customWidth="1"/>
    <col min="7196" max="7196" width="7" style="653" customWidth="1"/>
    <col min="7197" max="7197" width="10.25" style="653" customWidth="1"/>
    <col min="7198" max="7200" width="7" style="653" customWidth="1"/>
    <col min="7201" max="7201" width="11.75" style="653" bestFit="1" customWidth="1"/>
    <col min="7202" max="7202" width="16.25" style="653" customWidth="1"/>
    <col min="7203" max="7203" width="7.125" style="653" bestFit="1" customWidth="1"/>
    <col min="7204" max="7205" width="9" style="653"/>
    <col min="7206" max="7206" width="7.125" style="653" bestFit="1" customWidth="1"/>
    <col min="7207" max="7209" width="9" style="653"/>
    <col min="7210" max="7212" width="9.75" style="653" bestFit="1" customWidth="1"/>
    <col min="7213" max="7213" width="8.375" style="653" bestFit="1" customWidth="1"/>
    <col min="7214" max="7221" width="9.75" style="653" bestFit="1" customWidth="1"/>
    <col min="7222" max="7406" width="9" style="653"/>
    <col min="7407" max="7407" width="9" style="653" customWidth="1"/>
    <col min="7408" max="7408" width="7" style="653" customWidth="1"/>
    <col min="7409" max="7410" width="8" style="653" customWidth="1"/>
    <col min="7411" max="7411" width="10.125" style="653" customWidth="1"/>
    <col min="7412" max="7412" width="9.625" style="653" customWidth="1"/>
    <col min="7413" max="7413" width="11.875" style="653" customWidth="1"/>
    <col min="7414" max="7414" width="12.75" style="653" customWidth="1"/>
    <col min="7415" max="7415" width="9.25" style="653" customWidth="1"/>
    <col min="7416" max="7416" width="9.625" style="653" customWidth="1"/>
    <col min="7417" max="7417" width="7.75" style="653" customWidth="1"/>
    <col min="7418" max="7418" width="8.375" style="653" customWidth="1"/>
    <col min="7419" max="7419" width="5.875" style="653" customWidth="1"/>
    <col min="7420" max="7420" width="8.875" style="653" customWidth="1"/>
    <col min="7421" max="7421" width="9.25" style="653" customWidth="1"/>
    <col min="7422" max="7422" width="11.125" style="653" customWidth="1"/>
    <col min="7423" max="7423" width="11.875" style="653" customWidth="1"/>
    <col min="7424" max="7424" width="8.75" style="653" customWidth="1"/>
    <col min="7425" max="7425" width="10.25" style="653" customWidth="1"/>
    <col min="7426" max="7426" width="7" style="653" customWidth="1"/>
    <col min="7427" max="7427" width="8" style="653" customWidth="1"/>
    <col min="7428" max="7428" width="7.875" style="653" customWidth="1"/>
    <col min="7429" max="7429" width="11.125" style="653" customWidth="1"/>
    <col min="7430" max="7430" width="10.125" style="653" customWidth="1"/>
    <col min="7431" max="7431" width="11.875" style="653" customWidth="1"/>
    <col min="7432" max="7432" width="11.75" style="653" customWidth="1"/>
    <col min="7433" max="7433" width="9.75" style="653" customWidth="1"/>
    <col min="7434" max="7434" width="10.375" style="653" customWidth="1"/>
    <col min="7435" max="7436" width="7" style="653" customWidth="1"/>
    <col min="7437" max="7437" width="8.125" style="653" customWidth="1"/>
    <col min="7438" max="7438" width="10" style="653" customWidth="1"/>
    <col min="7439" max="7439" width="9.375" style="653" customWidth="1"/>
    <col min="7440" max="7440" width="10.375" style="653" customWidth="1"/>
    <col min="7441" max="7441" width="10.75" style="653" customWidth="1"/>
    <col min="7442" max="7442" width="9.75" style="653" customWidth="1"/>
    <col min="7443" max="7443" width="10.75" style="653" customWidth="1"/>
    <col min="7444" max="7444" width="7" style="653" customWidth="1"/>
    <col min="7445" max="7446" width="8.25" style="653" customWidth="1"/>
    <col min="7447" max="7448" width="10" style="653" customWidth="1"/>
    <col min="7449" max="7450" width="10.75" style="653" customWidth="1"/>
    <col min="7451" max="7451" width="9.75" style="653" customWidth="1"/>
    <col min="7452" max="7452" width="7" style="653" customWidth="1"/>
    <col min="7453" max="7453" width="10.25" style="653" customWidth="1"/>
    <col min="7454" max="7456" width="7" style="653" customWidth="1"/>
    <col min="7457" max="7457" width="11.75" style="653" bestFit="1" customWidth="1"/>
    <col min="7458" max="7458" width="16.25" style="653" customWidth="1"/>
    <col min="7459" max="7459" width="7.125" style="653" bestFit="1" customWidth="1"/>
    <col min="7460" max="7461" width="9" style="653"/>
    <col min="7462" max="7462" width="7.125" style="653" bestFit="1" customWidth="1"/>
    <col min="7463" max="7465" width="9" style="653"/>
    <col min="7466" max="7468" width="9.75" style="653" bestFit="1" customWidth="1"/>
    <col min="7469" max="7469" width="8.375" style="653" bestFit="1" customWidth="1"/>
    <col min="7470" max="7477" width="9.75" style="653" bestFit="1" customWidth="1"/>
    <col min="7478" max="7662" width="9" style="653"/>
    <col min="7663" max="7663" width="9" style="653" customWidth="1"/>
    <col min="7664" max="7664" width="7" style="653" customWidth="1"/>
    <col min="7665" max="7666" width="8" style="653" customWidth="1"/>
    <col min="7667" max="7667" width="10.125" style="653" customWidth="1"/>
    <col min="7668" max="7668" width="9.625" style="653" customWidth="1"/>
    <col min="7669" max="7669" width="11.875" style="653" customWidth="1"/>
    <col min="7670" max="7670" width="12.75" style="653" customWidth="1"/>
    <col min="7671" max="7671" width="9.25" style="653" customWidth="1"/>
    <col min="7672" max="7672" width="9.625" style="653" customWidth="1"/>
    <col min="7673" max="7673" width="7.75" style="653" customWidth="1"/>
    <col min="7674" max="7674" width="8.375" style="653" customWidth="1"/>
    <col min="7675" max="7675" width="5.875" style="653" customWidth="1"/>
    <col min="7676" max="7676" width="8.875" style="653" customWidth="1"/>
    <col min="7677" max="7677" width="9.25" style="653" customWidth="1"/>
    <col min="7678" max="7678" width="11.125" style="653" customWidth="1"/>
    <col min="7679" max="7679" width="11.875" style="653" customWidth="1"/>
    <col min="7680" max="7680" width="8.75" style="653" customWidth="1"/>
    <col min="7681" max="7681" width="10.25" style="653" customWidth="1"/>
    <col min="7682" max="7682" width="7" style="653" customWidth="1"/>
    <col min="7683" max="7683" width="8" style="653" customWidth="1"/>
    <col min="7684" max="7684" width="7.875" style="653" customWidth="1"/>
    <col min="7685" max="7685" width="11.125" style="653" customWidth="1"/>
    <col min="7686" max="7686" width="10.125" style="653" customWidth="1"/>
    <col min="7687" max="7687" width="11.875" style="653" customWidth="1"/>
    <col min="7688" max="7688" width="11.75" style="653" customWidth="1"/>
    <col min="7689" max="7689" width="9.75" style="653" customWidth="1"/>
    <col min="7690" max="7690" width="10.375" style="653" customWidth="1"/>
    <col min="7691" max="7692" width="7" style="653" customWidth="1"/>
    <col min="7693" max="7693" width="8.125" style="653" customWidth="1"/>
    <col min="7694" max="7694" width="10" style="653" customWidth="1"/>
    <col min="7695" max="7695" width="9.375" style="653" customWidth="1"/>
    <col min="7696" max="7696" width="10.375" style="653" customWidth="1"/>
    <col min="7697" max="7697" width="10.75" style="653" customWidth="1"/>
    <col min="7698" max="7698" width="9.75" style="653" customWidth="1"/>
    <col min="7699" max="7699" width="10.75" style="653" customWidth="1"/>
    <col min="7700" max="7700" width="7" style="653" customWidth="1"/>
    <col min="7701" max="7702" width="8.25" style="653" customWidth="1"/>
    <col min="7703" max="7704" width="10" style="653" customWidth="1"/>
    <col min="7705" max="7706" width="10.75" style="653" customWidth="1"/>
    <col min="7707" max="7707" width="9.75" style="653" customWidth="1"/>
    <col min="7708" max="7708" width="7" style="653" customWidth="1"/>
    <col min="7709" max="7709" width="10.25" style="653" customWidth="1"/>
    <col min="7710" max="7712" width="7" style="653" customWidth="1"/>
    <col min="7713" max="7713" width="11.75" style="653" bestFit="1" customWidth="1"/>
    <col min="7714" max="7714" width="16.25" style="653" customWidth="1"/>
    <col min="7715" max="7715" width="7.125" style="653" bestFit="1" customWidth="1"/>
    <col min="7716" max="7717" width="9" style="653"/>
    <col min="7718" max="7718" width="7.125" style="653" bestFit="1" customWidth="1"/>
    <col min="7719" max="7721" width="9" style="653"/>
    <col min="7722" max="7724" width="9.75" style="653" bestFit="1" customWidth="1"/>
    <col min="7725" max="7725" width="8.375" style="653" bestFit="1" customWidth="1"/>
    <col min="7726" max="7733" width="9.75" style="653" bestFit="1" customWidth="1"/>
    <col min="7734" max="7918" width="9" style="653"/>
    <col min="7919" max="7919" width="9" style="653" customWidth="1"/>
    <col min="7920" max="7920" width="7" style="653" customWidth="1"/>
    <col min="7921" max="7922" width="8" style="653" customWidth="1"/>
    <col min="7923" max="7923" width="10.125" style="653" customWidth="1"/>
    <col min="7924" max="7924" width="9.625" style="653" customWidth="1"/>
    <col min="7925" max="7925" width="11.875" style="653" customWidth="1"/>
    <col min="7926" max="7926" width="12.75" style="653" customWidth="1"/>
    <col min="7927" max="7927" width="9.25" style="653" customWidth="1"/>
    <col min="7928" max="7928" width="9.625" style="653" customWidth="1"/>
    <col min="7929" max="7929" width="7.75" style="653" customWidth="1"/>
    <col min="7930" max="7930" width="8.375" style="653" customWidth="1"/>
    <col min="7931" max="7931" width="5.875" style="653" customWidth="1"/>
    <col min="7932" max="7932" width="8.875" style="653" customWidth="1"/>
    <col min="7933" max="7933" width="9.25" style="653" customWidth="1"/>
    <col min="7934" max="7934" width="11.125" style="653" customWidth="1"/>
    <col min="7935" max="7935" width="11.875" style="653" customWidth="1"/>
    <col min="7936" max="7936" width="8.75" style="653" customWidth="1"/>
    <col min="7937" max="7937" width="10.25" style="653" customWidth="1"/>
    <col min="7938" max="7938" width="7" style="653" customWidth="1"/>
    <col min="7939" max="7939" width="8" style="653" customWidth="1"/>
    <col min="7940" max="7940" width="7.875" style="653" customWidth="1"/>
    <col min="7941" max="7941" width="11.125" style="653" customWidth="1"/>
    <col min="7942" max="7942" width="10.125" style="653" customWidth="1"/>
    <col min="7943" max="7943" width="11.875" style="653" customWidth="1"/>
    <col min="7944" max="7944" width="11.75" style="653" customWidth="1"/>
    <col min="7945" max="7945" width="9.75" style="653" customWidth="1"/>
    <col min="7946" max="7946" width="10.375" style="653" customWidth="1"/>
    <col min="7947" max="7948" width="7" style="653" customWidth="1"/>
    <col min="7949" max="7949" width="8.125" style="653" customWidth="1"/>
    <col min="7950" max="7950" width="10" style="653" customWidth="1"/>
    <col min="7951" max="7951" width="9.375" style="653" customWidth="1"/>
    <col min="7952" max="7952" width="10.375" style="653" customWidth="1"/>
    <col min="7953" max="7953" width="10.75" style="653" customWidth="1"/>
    <col min="7954" max="7954" width="9.75" style="653" customWidth="1"/>
    <col min="7955" max="7955" width="10.75" style="653" customWidth="1"/>
    <col min="7956" max="7956" width="7" style="653" customWidth="1"/>
    <col min="7957" max="7958" width="8.25" style="653" customWidth="1"/>
    <col min="7959" max="7960" width="10" style="653" customWidth="1"/>
    <col min="7961" max="7962" width="10.75" style="653" customWidth="1"/>
    <col min="7963" max="7963" width="9.75" style="653" customWidth="1"/>
    <col min="7964" max="7964" width="7" style="653" customWidth="1"/>
    <col min="7965" max="7965" width="10.25" style="653" customWidth="1"/>
    <col min="7966" max="7968" width="7" style="653" customWidth="1"/>
    <col min="7969" max="7969" width="11.75" style="653" bestFit="1" customWidth="1"/>
    <col min="7970" max="7970" width="16.25" style="653" customWidth="1"/>
    <col min="7971" max="7971" width="7.125" style="653" bestFit="1" customWidth="1"/>
    <col min="7972" max="7973" width="9" style="653"/>
    <col min="7974" max="7974" width="7.125" style="653" bestFit="1" customWidth="1"/>
    <col min="7975" max="7977" width="9" style="653"/>
    <col min="7978" max="7980" width="9.75" style="653" bestFit="1" customWidth="1"/>
    <col min="7981" max="7981" width="8.375" style="653" bestFit="1" customWidth="1"/>
    <col min="7982" max="7989" width="9.75" style="653" bestFit="1" customWidth="1"/>
    <col min="7990" max="8174" width="9" style="653"/>
    <col min="8175" max="8175" width="9" style="653" customWidth="1"/>
    <col min="8176" max="8176" width="7" style="653" customWidth="1"/>
    <col min="8177" max="8178" width="8" style="653" customWidth="1"/>
    <col min="8179" max="8179" width="10.125" style="653" customWidth="1"/>
    <col min="8180" max="8180" width="9.625" style="653" customWidth="1"/>
    <col min="8181" max="8181" width="11.875" style="653" customWidth="1"/>
    <col min="8182" max="8182" width="12.75" style="653" customWidth="1"/>
    <col min="8183" max="8183" width="9.25" style="653" customWidth="1"/>
    <col min="8184" max="8184" width="9.625" style="653" customWidth="1"/>
    <col min="8185" max="8185" width="7.75" style="653" customWidth="1"/>
    <col min="8186" max="8186" width="8.375" style="653" customWidth="1"/>
    <col min="8187" max="8187" width="5.875" style="653" customWidth="1"/>
    <col min="8188" max="8188" width="8.875" style="653" customWidth="1"/>
    <col min="8189" max="8189" width="9.25" style="653" customWidth="1"/>
    <col min="8190" max="8190" width="11.125" style="653" customWidth="1"/>
    <col min="8191" max="8191" width="11.875" style="653" customWidth="1"/>
    <col min="8192" max="8192" width="8.75" style="653" customWidth="1"/>
    <col min="8193" max="8193" width="10.25" style="653" customWidth="1"/>
    <col min="8194" max="8194" width="7" style="653" customWidth="1"/>
    <col min="8195" max="8195" width="8" style="653" customWidth="1"/>
    <col min="8196" max="8196" width="7.875" style="653" customWidth="1"/>
    <col min="8197" max="8197" width="11.125" style="653" customWidth="1"/>
    <col min="8198" max="8198" width="10.125" style="653" customWidth="1"/>
    <col min="8199" max="8199" width="11.875" style="653" customWidth="1"/>
    <col min="8200" max="8200" width="11.75" style="653" customWidth="1"/>
    <col min="8201" max="8201" width="9.75" style="653" customWidth="1"/>
    <col min="8202" max="8202" width="10.375" style="653" customWidth="1"/>
    <col min="8203" max="8204" width="7" style="653" customWidth="1"/>
    <col min="8205" max="8205" width="8.125" style="653" customWidth="1"/>
    <col min="8206" max="8206" width="10" style="653" customWidth="1"/>
    <col min="8207" max="8207" width="9.375" style="653" customWidth="1"/>
    <col min="8208" max="8208" width="10.375" style="653" customWidth="1"/>
    <col min="8209" max="8209" width="10.75" style="653" customWidth="1"/>
    <col min="8210" max="8210" width="9.75" style="653" customWidth="1"/>
    <col min="8211" max="8211" width="10.75" style="653" customWidth="1"/>
    <col min="8212" max="8212" width="7" style="653" customWidth="1"/>
    <col min="8213" max="8214" width="8.25" style="653" customWidth="1"/>
    <col min="8215" max="8216" width="10" style="653" customWidth="1"/>
    <col min="8217" max="8218" width="10.75" style="653" customWidth="1"/>
    <col min="8219" max="8219" width="9.75" style="653" customWidth="1"/>
    <col min="8220" max="8220" width="7" style="653" customWidth="1"/>
    <col min="8221" max="8221" width="10.25" style="653" customWidth="1"/>
    <col min="8222" max="8224" width="7" style="653" customWidth="1"/>
    <col min="8225" max="8225" width="11.75" style="653" bestFit="1" customWidth="1"/>
    <col min="8226" max="8226" width="16.25" style="653" customWidth="1"/>
    <col min="8227" max="8227" width="7.125" style="653" bestFit="1" customWidth="1"/>
    <col min="8228" max="8229" width="9" style="653"/>
    <col min="8230" max="8230" width="7.125" style="653" bestFit="1" customWidth="1"/>
    <col min="8231" max="8233" width="9" style="653"/>
    <col min="8234" max="8236" width="9.75" style="653" bestFit="1" customWidth="1"/>
    <col min="8237" max="8237" width="8.375" style="653" bestFit="1" customWidth="1"/>
    <col min="8238" max="8245" width="9.75" style="653" bestFit="1" customWidth="1"/>
    <col min="8246" max="8430" width="9" style="653"/>
    <col min="8431" max="8431" width="9" style="653" customWidth="1"/>
    <col min="8432" max="8432" width="7" style="653" customWidth="1"/>
    <col min="8433" max="8434" width="8" style="653" customWidth="1"/>
    <col min="8435" max="8435" width="10.125" style="653" customWidth="1"/>
    <col min="8436" max="8436" width="9.625" style="653" customWidth="1"/>
    <col min="8437" max="8437" width="11.875" style="653" customWidth="1"/>
    <col min="8438" max="8438" width="12.75" style="653" customWidth="1"/>
    <col min="8439" max="8439" width="9.25" style="653" customWidth="1"/>
    <col min="8440" max="8440" width="9.625" style="653" customWidth="1"/>
    <col min="8441" max="8441" width="7.75" style="653" customWidth="1"/>
    <col min="8442" max="8442" width="8.375" style="653" customWidth="1"/>
    <col min="8443" max="8443" width="5.875" style="653" customWidth="1"/>
    <col min="8444" max="8444" width="8.875" style="653" customWidth="1"/>
    <col min="8445" max="8445" width="9.25" style="653" customWidth="1"/>
    <col min="8446" max="8446" width="11.125" style="653" customWidth="1"/>
    <col min="8447" max="8447" width="11.875" style="653" customWidth="1"/>
    <col min="8448" max="8448" width="8.75" style="653" customWidth="1"/>
    <col min="8449" max="8449" width="10.25" style="653" customWidth="1"/>
    <col min="8450" max="8450" width="7" style="653" customWidth="1"/>
    <col min="8451" max="8451" width="8" style="653" customWidth="1"/>
    <col min="8452" max="8452" width="7.875" style="653" customWidth="1"/>
    <col min="8453" max="8453" width="11.125" style="653" customWidth="1"/>
    <col min="8454" max="8454" width="10.125" style="653" customWidth="1"/>
    <col min="8455" max="8455" width="11.875" style="653" customWidth="1"/>
    <col min="8456" max="8456" width="11.75" style="653" customWidth="1"/>
    <col min="8457" max="8457" width="9.75" style="653" customWidth="1"/>
    <col min="8458" max="8458" width="10.375" style="653" customWidth="1"/>
    <col min="8459" max="8460" width="7" style="653" customWidth="1"/>
    <col min="8461" max="8461" width="8.125" style="653" customWidth="1"/>
    <col min="8462" max="8462" width="10" style="653" customWidth="1"/>
    <col min="8463" max="8463" width="9.375" style="653" customWidth="1"/>
    <col min="8464" max="8464" width="10.375" style="653" customWidth="1"/>
    <col min="8465" max="8465" width="10.75" style="653" customWidth="1"/>
    <col min="8466" max="8466" width="9.75" style="653" customWidth="1"/>
    <col min="8467" max="8467" width="10.75" style="653" customWidth="1"/>
    <col min="8468" max="8468" width="7" style="653" customWidth="1"/>
    <col min="8469" max="8470" width="8.25" style="653" customWidth="1"/>
    <col min="8471" max="8472" width="10" style="653" customWidth="1"/>
    <col min="8473" max="8474" width="10.75" style="653" customWidth="1"/>
    <col min="8475" max="8475" width="9.75" style="653" customWidth="1"/>
    <col min="8476" max="8476" width="7" style="653" customWidth="1"/>
    <col min="8477" max="8477" width="10.25" style="653" customWidth="1"/>
    <col min="8478" max="8480" width="7" style="653" customWidth="1"/>
    <col min="8481" max="8481" width="11.75" style="653" bestFit="1" customWidth="1"/>
    <col min="8482" max="8482" width="16.25" style="653" customWidth="1"/>
    <col min="8483" max="8483" width="7.125" style="653" bestFit="1" customWidth="1"/>
    <col min="8484" max="8485" width="9" style="653"/>
    <col min="8486" max="8486" width="7.125" style="653" bestFit="1" customWidth="1"/>
    <col min="8487" max="8489" width="9" style="653"/>
    <col min="8490" max="8492" width="9.75" style="653" bestFit="1" customWidth="1"/>
    <col min="8493" max="8493" width="8.375" style="653" bestFit="1" customWidth="1"/>
    <col min="8494" max="8501" width="9.75" style="653" bestFit="1" customWidth="1"/>
    <col min="8502" max="8686" width="9" style="653"/>
    <col min="8687" max="8687" width="9" style="653" customWidth="1"/>
    <col min="8688" max="8688" width="7" style="653" customWidth="1"/>
    <col min="8689" max="8690" width="8" style="653" customWidth="1"/>
    <col min="8691" max="8691" width="10.125" style="653" customWidth="1"/>
    <col min="8692" max="8692" width="9.625" style="653" customWidth="1"/>
    <col min="8693" max="8693" width="11.875" style="653" customWidth="1"/>
    <col min="8694" max="8694" width="12.75" style="653" customWidth="1"/>
    <col min="8695" max="8695" width="9.25" style="653" customWidth="1"/>
    <col min="8696" max="8696" width="9.625" style="653" customWidth="1"/>
    <col min="8697" max="8697" width="7.75" style="653" customWidth="1"/>
    <col min="8698" max="8698" width="8.375" style="653" customWidth="1"/>
    <col min="8699" max="8699" width="5.875" style="653" customWidth="1"/>
    <col min="8700" max="8700" width="8.875" style="653" customWidth="1"/>
    <col min="8701" max="8701" width="9.25" style="653" customWidth="1"/>
    <col min="8702" max="8702" width="11.125" style="653" customWidth="1"/>
    <col min="8703" max="8703" width="11.875" style="653" customWidth="1"/>
    <col min="8704" max="8704" width="8.75" style="653" customWidth="1"/>
    <col min="8705" max="8705" width="10.25" style="653" customWidth="1"/>
    <col min="8706" max="8706" width="7" style="653" customWidth="1"/>
    <col min="8707" max="8707" width="8" style="653" customWidth="1"/>
    <col min="8708" max="8708" width="7.875" style="653" customWidth="1"/>
    <col min="8709" max="8709" width="11.125" style="653" customWidth="1"/>
    <col min="8710" max="8710" width="10.125" style="653" customWidth="1"/>
    <col min="8711" max="8711" width="11.875" style="653" customWidth="1"/>
    <col min="8712" max="8712" width="11.75" style="653" customWidth="1"/>
    <col min="8713" max="8713" width="9.75" style="653" customWidth="1"/>
    <col min="8714" max="8714" width="10.375" style="653" customWidth="1"/>
    <col min="8715" max="8716" width="7" style="653" customWidth="1"/>
    <col min="8717" max="8717" width="8.125" style="653" customWidth="1"/>
    <col min="8718" max="8718" width="10" style="653" customWidth="1"/>
    <col min="8719" max="8719" width="9.375" style="653" customWidth="1"/>
    <col min="8720" max="8720" width="10.375" style="653" customWidth="1"/>
    <col min="8721" max="8721" width="10.75" style="653" customWidth="1"/>
    <col min="8722" max="8722" width="9.75" style="653" customWidth="1"/>
    <col min="8723" max="8723" width="10.75" style="653" customWidth="1"/>
    <col min="8724" max="8724" width="7" style="653" customWidth="1"/>
    <col min="8725" max="8726" width="8.25" style="653" customWidth="1"/>
    <col min="8727" max="8728" width="10" style="653" customWidth="1"/>
    <col min="8729" max="8730" width="10.75" style="653" customWidth="1"/>
    <col min="8731" max="8731" width="9.75" style="653" customWidth="1"/>
    <col min="8732" max="8732" width="7" style="653" customWidth="1"/>
    <col min="8733" max="8733" width="10.25" style="653" customWidth="1"/>
    <col min="8734" max="8736" width="7" style="653" customWidth="1"/>
    <col min="8737" max="8737" width="11.75" style="653" bestFit="1" customWidth="1"/>
    <col min="8738" max="8738" width="16.25" style="653" customWidth="1"/>
    <col min="8739" max="8739" width="7.125" style="653" bestFit="1" customWidth="1"/>
    <col min="8740" max="8741" width="9" style="653"/>
    <col min="8742" max="8742" width="7.125" style="653" bestFit="1" customWidth="1"/>
    <col min="8743" max="8745" width="9" style="653"/>
    <col min="8746" max="8748" width="9.75" style="653" bestFit="1" customWidth="1"/>
    <col min="8749" max="8749" width="8.375" style="653" bestFit="1" customWidth="1"/>
    <col min="8750" max="8757" width="9.75" style="653" bestFit="1" customWidth="1"/>
    <col min="8758" max="8942" width="9" style="653"/>
    <col min="8943" max="8943" width="9" style="653" customWidth="1"/>
    <col min="8944" max="8944" width="7" style="653" customWidth="1"/>
    <col min="8945" max="8946" width="8" style="653" customWidth="1"/>
    <col min="8947" max="8947" width="10.125" style="653" customWidth="1"/>
    <col min="8948" max="8948" width="9.625" style="653" customWidth="1"/>
    <col min="8949" max="8949" width="11.875" style="653" customWidth="1"/>
    <col min="8950" max="8950" width="12.75" style="653" customWidth="1"/>
    <col min="8951" max="8951" width="9.25" style="653" customWidth="1"/>
    <col min="8952" max="8952" width="9.625" style="653" customWidth="1"/>
    <col min="8953" max="8953" width="7.75" style="653" customWidth="1"/>
    <col min="8954" max="8954" width="8.375" style="653" customWidth="1"/>
    <col min="8955" max="8955" width="5.875" style="653" customWidth="1"/>
    <col min="8956" max="8956" width="8.875" style="653" customWidth="1"/>
    <col min="8957" max="8957" width="9.25" style="653" customWidth="1"/>
    <col min="8958" max="8958" width="11.125" style="653" customWidth="1"/>
    <col min="8959" max="8959" width="11.875" style="653" customWidth="1"/>
    <col min="8960" max="8960" width="8.75" style="653" customWidth="1"/>
    <col min="8961" max="8961" width="10.25" style="653" customWidth="1"/>
    <col min="8962" max="8962" width="7" style="653" customWidth="1"/>
    <col min="8963" max="8963" width="8" style="653" customWidth="1"/>
    <col min="8964" max="8964" width="7.875" style="653" customWidth="1"/>
    <col min="8965" max="8965" width="11.125" style="653" customWidth="1"/>
    <col min="8966" max="8966" width="10.125" style="653" customWidth="1"/>
    <col min="8967" max="8967" width="11.875" style="653" customWidth="1"/>
    <col min="8968" max="8968" width="11.75" style="653" customWidth="1"/>
    <col min="8969" max="8969" width="9.75" style="653" customWidth="1"/>
    <col min="8970" max="8970" width="10.375" style="653" customWidth="1"/>
    <col min="8971" max="8972" width="7" style="653" customWidth="1"/>
    <col min="8973" max="8973" width="8.125" style="653" customWidth="1"/>
    <col min="8974" max="8974" width="10" style="653" customWidth="1"/>
    <col min="8975" max="8975" width="9.375" style="653" customWidth="1"/>
    <col min="8976" max="8976" width="10.375" style="653" customWidth="1"/>
    <col min="8977" max="8977" width="10.75" style="653" customWidth="1"/>
    <col min="8978" max="8978" width="9.75" style="653" customWidth="1"/>
    <col min="8979" max="8979" width="10.75" style="653" customWidth="1"/>
    <col min="8980" max="8980" width="7" style="653" customWidth="1"/>
    <col min="8981" max="8982" width="8.25" style="653" customWidth="1"/>
    <col min="8983" max="8984" width="10" style="653" customWidth="1"/>
    <col min="8985" max="8986" width="10.75" style="653" customWidth="1"/>
    <col min="8987" max="8987" width="9.75" style="653" customWidth="1"/>
    <col min="8988" max="8988" width="7" style="653" customWidth="1"/>
    <col min="8989" max="8989" width="10.25" style="653" customWidth="1"/>
    <col min="8990" max="8992" width="7" style="653" customWidth="1"/>
    <col min="8993" max="8993" width="11.75" style="653" bestFit="1" customWidth="1"/>
    <col min="8994" max="8994" width="16.25" style="653" customWidth="1"/>
    <col min="8995" max="8995" width="7.125" style="653" bestFit="1" customWidth="1"/>
    <col min="8996" max="8997" width="9" style="653"/>
    <col min="8998" max="8998" width="7.125" style="653" bestFit="1" customWidth="1"/>
    <col min="8999" max="9001" width="9" style="653"/>
    <col min="9002" max="9004" width="9.75" style="653" bestFit="1" customWidth="1"/>
    <col min="9005" max="9005" width="8.375" style="653" bestFit="1" customWidth="1"/>
    <col min="9006" max="9013" width="9.75" style="653" bestFit="1" customWidth="1"/>
    <col min="9014" max="9198" width="9" style="653"/>
    <col min="9199" max="9199" width="9" style="653" customWidth="1"/>
    <col min="9200" max="9200" width="7" style="653" customWidth="1"/>
    <col min="9201" max="9202" width="8" style="653" customWidth="1"/>
    <col min="9203" max="9203" width="10.125" style="653" customWidth="1"/>
    <col min="9204" max="9204" width="9.625" style="653" customWidth="1"/>
    <col min="9205" max="9205" width="11.875" style="653" customWidth="1"/>
    <col min="9206" max="9206" width="12.75" style="653" customWidth="1"/>
    <col min="9207" max="9207" width="9.25" style="653" customWidth="1"/>
    <col min="9208" max="9208" width="9.625" style="653" customWidth="1"/>
    <col min="9209" max="9209" width="7.75" style="653" customWidth="1"/>
    <col min="9210" max="9210" width="8.375" style="653" customWidth="1"/>
    <col min="9211" max="9211" width="5.875" style="653" customWidth="1"/>
    <col min="9212" max="9212" width="8.875" style="653" customWidth="1"/>
    <col min="9213" max="9213" width="9.25" style="653" customWidth="1"/>
    <col min="9214" max="9214" width="11.125" style="653" customWidth="1"/>
    <col min="9215" max="9215" width="11.875" style="653" customWidth="1"/>
    <col min="9216" max="9216" width="8.75" style="653" customWidth="1"/>
    <col min="9217" max="9217" width="10.25" style="653" customWidth="1"/>
    <col min="9218" max="9218" width="7" style="653" customWidth="1"/>
    <col min="9219" max="9219" width="8" style="653" customWidth="1"/>
    <col min="9220" max="9220" width="7.875" style="653" customWidth="1"/>
    <col min="9221" max="9221" width="11.125" style="653" customWidth="1"/>
    <col min="9222" max="9222" width="10.125" style="653" customWidth="1"/>
    <col min="9223" max="9223" width="11.875" style="653" customWidth="1"/>
    <col min="9224" max="9224" width="11.75" style="653" customWidth="1"/>
    <col min="9225" max="9225" width="9.75" style="653" customWidth="1"/>
    <col min="9226" max="9226" width="10.375" style="653" customWidth="1"/>
    <col min="9227" max="9228" width="7" style="653" customWidth="1"/>
    <col min="9229" max="9229" width="8.125" style="653" customWidth="1"/>
    <col min="9230" max="9230" width="10" style="653" customWidth="1"/>
    <col min="9231" max="9231" width="9.375" style="653" customWidth="1"/>
    <col min="9232" max="9232" width="10.375" style="653" customWidth="1"/>
    <col min="9233" max="9233" width="10.75" style="653" customWidth="1"/>
    <col min="9234" max="9234" width="9.75" style="653" customWidth="1"/>
    <col min="9235" max="9235" width="10.75" style="653" customWidth="1"/>
    <col min="9236" max="9236" width="7" style="653" customWidth="1"/>
    <col min="9237" max="9238" width="8.25" style="653" customWidth="1"/>
    <col min="9239" max="9240" width="10" style="653" customWidth="1"/>
    <col min="9241" max="9242" width="10.75" style="653" customWidth="1"/>
    <col min="9243" max="9243" width="9.75" style="653" customWidth="1"/>
    <col min="9244" max="9244" width="7" style="653" customWidth="1"/>
    <col min="9245" max="9245" width="10.25" style="653" customWidth="1"/>
    <col min="9246" max="9248" width="7" style="653" customWidth="1"/>
    <col min="9249" max="9249" width="11.75" style="653" bestFit="1" customWidth="1"/>
    <col min="9250" max="9250" width="16.25" style="653" customWidth="1"/>
    <col min="9251" max="9251" width="7.125" style="653" bestFit="1" customWidth="1"/>
    <col min="9252" max="9253" width="9" style="653"/>
    <col min="9254" max="9254" width="7.125" style="653" bestFit="1" customWidth="1"/>
    <col min="9255" max="9257" width="9" style="653"/>
    <col min="9258" max="9260" width="9.75" style="653" bestFit="1" customWidth="1"/>
    <col min="9261" max="9261" width="8.375" style="653" bestFit="1" customWidth="1"/>
    <col min="9262" max="9269" width="9.75" style="653" bestFit="1" customWidth="1"/>
    <col min="9270" max="9454" width="9" style="653"/>
    <col min="9455" max="9455" width="9" style="653" customWidth="1"/>
    <col min="9456" max="9456" width="7" style="653" customWidth="1"/>
    <col min="9457" max="9458" width="8" style="653" customWidth="1"/>
    <col min="9459" max="9459" width="10.125" style="653" customWidth="1"/>
    <col min="9460" max="9460" width="9.625" style="653" customWidth="1"/>
    <col min="9461" max="9461" width="11.875" style="653" customWidth="1"/>
    <col min="9462" max="9462" width="12.75" style="653" customWidth="1"/>
    <col min="9463" max="9463" width="9.25" style="653" customWidth="1"/>
    <col min="9464" max="9464" width="9.625" style="653" customWidth="1"/>
    <col min="9465" max="9465" width="7.75" style="653" customWidth="1"/>
    <col min="9466" max="9466" width="8.375" style="653" customWidth="1"/>
    <col min="9467" max="9467" width="5.875" style="653" customWidth="1"/>
    <col min="9468" max="9468" width="8.875" style="653" customWidth="1"/>
    <col min="9469" max="9469" width="9.25" style="653" customWidth="1"/>
    <col min="9470" max="9470" width="11.125" style="653" customWidth="1"/>
    <col min="9471" max="9471" width="11.875" style="653" customWidth="1"/>
    <col min="9472" max="9472" width="8.75" style="653" customWidth="1"/>
    <col min="9473" max="9473" width="10.25" style="653" customWidth="1"/>
    <col min="9474" max="9474" width="7" style="653" customWidth="1"/>
    <col min="9475" max="9475" width="8" style="653" customWidth="1"/>
    <col min="9476" max="9476" width="7.875" style="653" customWidth="1"/>
    <col min="9477" max="9477" width="11.125" style="653" customWidth="1"/>
    <col min="9478" max="9478" width="10.125" style="653" customWidth="1"/>
    <col min="9479" max="9479" width="11.875" style="653" customWidth="1"/>
    <col min="9480" max="9480" width="11.75" style="653" customWidth="1"/>
    <col min="9481" max="9481" width="9.75" style="653" customWidth="1"/>
    <col min="9482" max="9482" width="10.375" style="653" customWidth="1"/>
    <col min="9483" max="9484" width="7" style="653" customWidth="1"/>
    <col min="9485" max="9485" width="8.125" style="653" customWidth="1"/>
    <col min="9486" max="9486" width="10" style="653" customWidth="1"/>
    <col min="9487" max="9487" width="9.375" style="653" customWidth="1"/>
    <col min="9488" max="9488" width="10.375" style="653" customWidth="1"/>
    <col min="9489" max="9489" width="10.75" style="653" customWidth="1"/>
    <col min="9490" max="9490" width="9.75" style="653" customWidth="1"/>
    <col min="9491" max="9491" width="10.75" style="653" customWidth="1"/>
    <col min="9492" max="9492" width="7" style="653" customWidth="1"/>
    <col min="9493" max="9494" width="8.25" style="653" customWidth="1"/>
    <col min="9495" max="9496" width="10" style="653" customWidth="1"/>
    <col min="9497" max="9498" width="10.75" style="653" customWidth="1"/>
    <col min="9499" max="9499" width="9.75" style="653" customWidth="1"/>
    <col min="9500" max="9500" width="7" style="653" customWidth="1"/>
    <col min="9501" max="9501" width="10.25" style="653" customWidth="1"/>
    <col min="9502" max="9504" width="7" style="653" customWidth="1"/>
    <col min="9505" max="9505" width="11.75" style="653" bestFit="1" customWidth="1"/>
    <col min="9506" max="9506" width="16.25" style="653" customWidth="1"/>
    <col min="9507" max="9507" width="7.125" style="653" bestFit="1" customWidth="1"/>
    <col min="9508" max="9509" width="9" style="653"/>
    <col min="9510" max="9510" width="7.125" style="653" bestFit="1" customWidth="1"/>
    <col min="9511" max="9513" width="9" style="653"/>
    <col min="9514" max="9516" width="9.75" style="653" bestFit="1" customWidth="1"/>
    <col min="9517" max="9517" width="8.375" style="653" bestFit="1" customWidth="1"/>
    <col min="9518" max="9525" width="9.75" style="653" bestFit="1" customWidth="1"/>
    <col min="9526" max="9710" width="9" style="653"/>
    <col min="9711" max="9711" width="9" style="653" customWidth="1"/>
    <col min="9712" max="9712" width="7" style="653" customWidth="1"/>
    <col min="9713" max="9714" width="8" style="653" customWidth="1"/>
    <col min="9715" max="9715" width="10.125" style="653" customWidth="1"/>
    <col min="9716" max="9716" width="9.625" style="653" customWidth="1"/>
    <col min="9717" max="9717" width="11.875" style="653" customWidth="1"/>
    <col min="9718" max="9718" width="12.75" style="653" customWidth="1"/>
    <col min="9719" max="9719" width="9.25" style="653" customWidth="1"/>
    <col min="9720" max="9720" width="9.625" style="653" customWidth="1"/>
    <col min="9721" max="9721" width="7.75" style="653" customWidth="1"/>
    <col min="9722" max="9722" width="8.375" style="653" customWidth="1"/>
    <col min="9723" max="9723" width="5.875" style="653" customWidth="1"/>
    <col min="9724" max="9724" width="8.875" style="653" customWidth="1"/>
    <col min="9725" max="9725" width="9.25" style="653" customWidth="1"/>
    <col min="9726" max="9726" width="11.125" style="653" customWidth="1"/>
    <col min="9727" max="9727" width="11.875" style="653" customWidth="1"/>
    <col min="9728" max="9728" width="8.75" style="653" customWidth="1"/>
    <col min="9729" max="9729" width="10.25" style="653" customWidth="1"/>
    <col min="9730" max="9730" width="7" style="653" customWidth="1"/>
    <col min="9731" max="9731" width="8" style="653" customWidth="1"/>
    <col min="9732" max="9732" width="7.875" style="653" customWidth="1"/>
    <col min="9733" max="9733" width="11.125" style="653" customWidth="1"/>
    <col min="9734" max="9734" width="10.125" style="653" customWidth="1"/>
    <col min="9735" max="9735" width="11.875" style="653" customWidth="1"/>
    <col min="9736" max="9736" width="11.75" style="653" customWidth="1"/>
    <col min="9737" max="9737" width="9.75" style="653" customWidth="1"/>
    <col min="9738" max="9738" width="10.375" style="653" customWidth="1"/>
    <col min="9739" max="9740" width="7" style="653" customWidth="1"/>
    <col min="9741" max="9741" width="8.125" style="653" customWidth="1"/>
    <col min="9742" max="9742" width="10" style="653" customWidth="1"/>
    <col min="9743" max="9743" width="9.375" style="653" customWidth="1"/>
    <col min="9744" max="9744" width="10.375" style="653" customWidth="1"/>
    <col min="9745" max="9745" width="10.75" style="653" customWidth="1"/>
    <col min="9746" max="9746" width="9.75" style="653" customWidth="1"/>
    <col min="9747" max="9747" width="10.75" style="653" customWidth="1"/>
    <col min="9748" max="9748" width="7" style="653" customWidth="1"/>
    <col min="9749" max="9750" width="8.25" style="653" customWidth="1"/>
    <col min="9751" max="9752" width="10" style="653" customWidth="1"/>
    <col min="9753" max="9754" width="10.75" style="653" customWidth="1"/>
    <col min="9755" max="9755" width="9.75" style="653" customWidth="1"/>
    <col min="9756" max="9756" width="7" style="653" customWidth="1"/>
    <col min="9757" max="9757" width="10.25" style="653" customWidth="1"/>
    <col min="9758" max="9760" width="7" style="653" customWidth="1"/>
    <col min="9761" max="9761" width="11.75" style="653" bestFit="1" customWidth="1"/>
    <col min="9762" max="9762" width="16.25" style="653" customWidth="1"/>
    <col min="9763" max="9763" width="7.125" style="653" bestFit="1" customWidth="1"/>
    <col min="9764" max="9765" width="9" style="653"/>
    <col min="9766" max="9766" width="7.125" style="653" bestFit="1" customWidth="1"/>
    <col min="9767" max="9769" width="9" style="653"/>
    <col min="9770" max="9772" width="9.75" style="653" bestFit="1" customWidth="1"/>
    <col min="9773" max="9773" width="8.375" style="653" bestFit="1" customWidth="1"/>
    <col min="9774" max="9781" width="9.75" style="653" bestFit="1" customWidth="1"/>
    <col min="9782" max="9966" width="9" style="653"/>
    <col min="9967" max="9967" width="9" style="653" customWidth="1"/>
    <col min="9968" max="9968" width="7" style="653" customWidth="1"/>
    <col min="9969" max="9970" width="8" style="653" customWidth="1"/>
    <col min="9971" max="9971" width="10.125" style="653" customWidth="1"/>
    <col min="9972" max="9972" width="9.625" style="653" customWidth="1"/>
    <col min="9973" max="9973" width="11.875" style="653" customWidth="1"/>
    <col min="9974" max="9974" width="12.75" style="653" customWidth="1"/>
    <col min="9975" max="9975" width="9.25" style="653" customWidth="1"/>
    <col min="9976" max="9976" width="9.625" style="653" customWidth="1"/>
    <col min="9977" max="9977" width="7.75" style="653" customWidth="1"/>
    <col min="9978" max="9978" width="8.375" style="653" customWidth="1"/>
    <col min="9979" max="9979" width="5.875" style="653" customWidth="1"/>
    <col min="9980" max="9980" width="8.875" style="653" customWidth="1"/>
    <col min="9981" max="9981" width="9.25" style="653" customWidth="1"/>
    <col min="9982" max="9982" width="11.125" style="653" customWidth="1"/>
    <col min="9983" max="9983" width="11.875" style="653" customWidth="1"/>
    <col min="9984" max="9984" width="8.75" style="653" customWidth="1"/>
    <col min="9985" max="9985" width="10.25" style="653" customWidth="1"/>
    <col min="9986" max="9986" width="7" style="653" customWidth="1"/>
    <col min="9987" max="9987" width="8" style="653" customWidth="1"/>
    <col min="9988" max="9988" width="7.875" style="653" customWidth="1"/>
    <col min="9989" max="9989" width="11.125" style="653" customWidth="1"/>
    <col min="9990" max="9990" width="10.125" style="653" customWidth="1"/>
    <col min="9991" max="9991" width="11.875" style="653" customWidth="1"/>
    <col min="9992" max="9992" width="11.75" style="653" customWidth="1"/>
    <col min="9993" max="9993" width="9.75" style="653" customWidth="1"/>
    <col min="9994" max="9994" width="10.375" style="653" customWidth="1"/>
    <col min="9995" max="9996" width="7" style="653" customWidth="1"/>
    <col min="9997" max="9997" width="8.125" style="653" customWidth="1"/>
    <col min="9998" max="9998" width="10" style="653" customWidth="1"/>
    <col min="9999" max="9999" width="9.375" style="653" customWidth="1"/>
    <col min="10000" max="10000" width="10.375" style="653" customWidth="1"/>
    <col min="10001" max="10001" width="10.75" style="653" customWidth="1"/>
    <col min="10002" max="10002" width="9.75" style="653" customWidth="1"/>
    <col min="10003" max="10003" width="10.75" style="653" customWidth="1"/>
    <col min="10004" max="10004" width="7" style="653" customWidth="1"/>
    <col min="10005" max="10006" width="8.25" style="653" customWidth="1"/>
    <col min="10007" max="10008" width="10" style="653" customWidth="1"/>
    <col min="10009" max="10010" width="10.75" style="653" customWidth="1"/>
    <col min="10011" max="10011" width="9.75" style="653" customWidth="1"/>
    <col min="10012" max="10012" width="7" style="653" customWidth="1"/>
    <col min="10013" max="10013" width="10.25" style="653" customWidth="1"/>
    <col min="10014" max="10016" width="7" style="653" customWidth="1"/>
    <col min="10017" max="10017" width="11.75" style="653" bestFit="1" customWidth="1"/>
    <col min="10018" max="10018" width="16.25" style="653" customWidth="1"/>
    <col min="10019" max="10019" width="7.125" style="653" bestFit="1" customWidth="1"/>
    <col min="10020" max="10021" width="9" style="653"/>
    <col min="10022" max="10022" width="7.125" style="653" bestFit="1" customWidth="1"/>
    <col min="10023" max="10025" width="9" style="653"/>
    <col min="10026" max="10028" width="9.75" style="653" bestFit="1" customWidth="1"/>
    <col min="10029" max="10029" width="8.375" style="653" bestFit="1" customWidth="1"/>
    <col min="10030" max="10037" width="9.75" style="653" bestFit="1" customWidth="1"/>
    <col min="10038" max="10222" width="9" style="653"/>
    <col min="10223" max="10223" width="9" style="653" customWidth="1"/>
    <col min="10224" max="10224" width="7" style="653" customWidth="1"/>
    <col min="10225" max="10226" width="8" style="653" customWidth="1"/>
    <col min="10227" max="10227" width="10.125" style="653" customWidth="1"/>
    <col min="10228" max="10228" width="9.625" style="653" customWidth="1"/>
    <col min="10229" max="10229" width="11.875" style="653" customWidth="1"/>
    <col min="10230" max="10230" width="12.75" style="653" customWidth="1"/>
    <col min="10231" max="10231" width="9.25" style="653" customWidth="1"/>
    <col min="10232" max="10232" width="9.625" style="653" customWidth="1"/>
    <col min="10233" max="10233" width="7.75" style="653" customWidth="1"/>
    <col min="10234" max="10234" width="8.375" style="653" customWidth="1"/>
    <col min="10235" max="10235" width="5.875" style="653" customWidth="1"/>
    <col min="10236" max="10236" width="8.875" style="653" customWidth="1"/>
    <col min="10237" max="10237" width="9.25" style="653" customWidth="1"/>
    <col min="10238" max="10238" width="11.125" style="653" customWidth="1"/>
    <col min="10239" max="10239" width="11.875" style="653" customWidth="1"/>
    <col min="10240" max="10240" width="8.75" style="653" customWidth="1"/>
    <col min="10241" max="10241" width="10.25" style="653" customWidth="1"/>
    <col min="10242" max="10242" width="7" style="653" customWidth="1"/>
    <col min="10243" max="10243" width="8" style="653" customWidth="1"/>
    <col min="10244" max="10244" width="7.875" style="653" customWidth="1"/>
    <col min="10245" max="10245" width="11.125" style="653" customWidth="1"/>
    <col min="10246" max="10246" width="10.125" style="653" customWidth="1"/>
    <col min="10247" max="10247" width="11.875" style="653" customWidth="1"/>
    <col min="10248" max="10248" width="11.75" style="653" customWidth="1"/>
    <col min="10249" max="10249" width="9.75" style="653" customWidth="1"/>
    <col min="10250" max="10250" width="10.375" style="653" customWidth="1"/>
    <col min="10251" max="10252" width="7" style="653" customWidth="1"/>
    <col min="10253" max="10253" width="8.125" style="653" customWidth="1"/>
    <col min="10254" max="10254" width="10" style="653" customWidth="1"/>
    <col min="10255" max="10255" width="9.375" style="653" customWidth="1"/>
    <col min="10256" max="10256" width="10.375" style="653" customWidth="1"/>
    <col min="10257" max="10257" width="10.75" style="653" customWidth="1"/>
    <col min="10258" max="10258" width="9.75" style="653" customWidth="1"/>
    <col min="10259" max="10259" width="10.75" style="653" customWidth="1"/>
    <col min="10260" max="10260" width="7" style="653" customWidth="1"/>
    <col min="10261" max="10262" width="8.25" style="653" customWidth="1"/>
    <col min="10263" max="10264" width="10" style="653" customWidth="1"/>
    <col min="10265" max="10266" width="10.75" style="653" customWidth="1"/>
    <col min="10267" max="10267" width="9.75" style="653" customWidth="1"/>
    <col min="10268" max="10268" width="7" style="653" customWidth="1"/>
    <col min="10269" max="10269" width="10.25" style="653" customWidth="1"/>
    <col min="10270" max="10272" width="7" style="653" customWidth="1"/>
    <col min="10273" max="10273" width="11.75" style="653" bestFit="1" customWidth="1"/>
    <col min="10274" max="10274" width="16.25" style="653" customWidth="1"/>
    <col min="10275" max="10275" width="7.125" style="653" bestFit="1" customWidth="1"/>
    <col min="10276" max="10277" width="9" style="653"/>
    <col min="10278" max="10278" width="7.125" style="653" bestFit="1" customWidth="1"/>
    <col min="10279" max="10281" width="9" style="653"/>
    <col min="10282" max="10284" width="9.75" style="653" bestFit="1" customWidth="1"/>
    <col min="10285" max="10285" width="8.375" style="653" bestFit="1" customWidth="1"/>
    <col min="10286" max="10293" width="9.75" style="653" bestFit="1" customWidth="1"/>
    <col min="10294" max="10478" width="9" style="653"/>
    <col min="10479" max="10479" width="9" style="653" customWidth="1"/>
    <col min="10480" max="10480" width="7" style="653" customWidth="1"/>
    <col min="10481" max="10482" width="8" style="653" customWidth="1"/>
    <col min="10483" max="10483" width="10.125" style="653" customWidth="1"/>
    <col min="10484" max="10484" width="9.625" style="653" customWidth="1"/>
    <col min="10485" max="10485" width="11.875" style="653" customWidth="1"/>
    <col min="10486" max="10486" width="12.75" style="653" customWidth="1"/>
    <col min="10487" max="10487" width="9.25" style="653" customWidth="1"/>
    <col min="10488" max="10488" width="9.625" style="653" customWidth="1"/>
    <col min="10489" max="10489" width="7.75" style="653" customWidth="1"/>
    <col min="10490" max="10490" width="8.375" style="653" customWidth="1"/>
    <col min="10491" max="10491" width="5.875" style="653" customWidth="1"/>
    <col min="10492" max="10492" width="8.875" style="653" customWidth="1"/>
    <col min="10493" max="10493" width="9.25" style="653" customWidth="1"/>
    <col min="10494" max="10494" width="11.125" style="653" customWidth="1"/>
    <col min="10495" max="10495" width="11.875" style="653" customWidth="1"/>
    <col min="10496" max="10496" width="8.75" style="653" customWidth="1"/>
    <col min="10497" max="10497" width="10.25" style="653" customWidth="1"/>
    <col min="10498" max="10498" width="7" style="653" customWidth="1"/>
    <col min="10499" max="10499" width="8" style="653" customWidth="1"/>
    <col min="10500" max="10500" width="7.875" style="653" customWidth="1"/>
    <col min="10501" max="10501" width="11.125" style="653" customWidth="1"/>
    <col min="10502" max="10502" width="10.125" style="653" customWidth="1"/>
    <col min="10503" max="10503" width="11.875" style="653" customWidth="1"/>
    <col min="10504" max="10504" width="11.75" style="653" customWidth="1"/>
    <col min="10505" max="10505" width="9.75" style="653" customWidth="1"/>
    <col min="10506" max="10506" width="10.375" style="653" customWidth="1"/>
    <col min="10507" max="10508" width="7" style="653" customWidth="1"/>
    <col min="10509" max="10509" width="8.125" style="653" customWidth="1"/>
    <col min="10510" max="10510" width="10" style="653" customWidth="1"/>
    <col min="10511" max="10511" width="9.375" style="653" customWidth="1"/>
    <col min="10512" max="10512" width="10.375" style="653" customWidth="1"/>
    <col min="10513" max="10513" width="10.75" style="653" customWidth="1"/>
    <col min="10514" max="10514" width="9.75" style="653" customWidth="1"/>
    <col min="10515" max="10515" width="10.75" style="653" customWidth="1"/>
    <col min="10516" max="10516" width="7" style="653" customWidth="1"/>
    <col min="10517" max="10518" width="8.25" style="653" customWidth="1"/>
    <col min="10519" max="10520" width="10" style="653" customWidth="1"/>
    <col min="10521" max="10522" width="10.75" style="653" customWidth="1"/>
    <col min="10523" max="10523" width="9.75" style="653" customWidth="1"/>
    <col min="10524" max="10524" width="7" style="653" customWidth="1"/>
    <col min="10525" max="10525" width="10.25" style="653" customWidth="1"/>
    <col min="10526" max="10528" width="7" style="653" customWidth="1"/>
    <col min="10529" max="10529" width="11.75" style="653" bestFit="1" customWidth="1"/>
    <col min="10530" max="10530" width="16.25" style="653" customWidth="1"/>
    <col min="10531" max="10531" width="7.125" style="653" bestFit="1" customWidth="1"/>
    <col min="10532" max="10533" width="9" style="653"/>
    <col min="10534" max="10534" width="7.125" style="653" bestFit="1" customWidth="1"/>
    <col min="10535" max="10537" width="9" style="653"/>
    <col min="10538" max="10540" width="9.75" style="653" bestFit="1" customWidth="1"/>
    <col min="10541" max="10541" width="8.375" style="653" bestFit="1" customWidth="1"/>
    <col min="10542" max="10549" width="9.75" style="653" bestFit="1" customWidth="1"/>
    <col min="10550" max="10734" width="9" style="653"/>
    <col min="10735" max="10735" width="9" style="653" customWidth="1"/>
    <col min="10736" max="10736" width="7" style="653" customWidth="1"/>
    <col min="10737" max="10738" width="8" style="653" customWidth="1"/>
    <col min="10739" max="10739" width="10.125" style="653" customWidth="1"/>
    <col min="10740" max="10740" width="9.625" style="653" customWidth="1"/>
    <col min="10741" max="10741" width="11.875" style="653" customWidth="1"/>
    <col min="10742" max="10742" width="12.75" style="653" customWidth="1"/>
    <col min="10743" max="10743" width="9.25" style="653" customWidth="1"/>
    <col min="10744" max="10744" width="9.625" style="653" customWidth="1"/>
    <col min="10745" max="10745" width="7.75" style="653" customWidth="1"/>
    <col min="10746" max="10746" width="8.375" style="653" customWidth="1"/>
    <col min="10747" max="10747" width="5.875" style="653" customWidth="1"/>
    <col min="10748" max="10748" width="8.875" style="653" customWidth="1"/>
    <col min="10749" max="10749" width="9.25" style="653" customWidth="1"/>
    <col min="10750" max="10750" width="11.125" style="653" customWidth="1"/>
    <col min="10751" max="10751" width="11.875" style="653" customWidth="1"/>
    <col min="10752" max="10752" width="8.75" style="653" customWidth="1"/>
    <col min="10753" max="10753" width="10.25" style="653" customWidth="1"/>
    <col min="10754" max="10754" width="7" style="653" customWidth="1"/>
    <col min="10755" max="10755" width="8" style="653" customWidth="1"/>
    <col min="10756" max="10756" width="7.875" style="653" customWidth="1"/>
    <col min="10757" max="10757" width="11.125" style="653" customWidth="1"/>
    <col min="10758" max="10758" width="10.125" style="653" customWidth="1"/>
    <col min="10759" max="10759" width="11.875" style="653" customWidth="1"/>
    <col min="10760" max="10760" width="11.75" style="653" customWidth="1"/>
    <col min="10761" max="10761" width="9.75" style="653" customWidth="1"/>
    <col min="10762" max="10762" width="10.375" style="653" customWidth="1"/>
    <col min="10763" max="10764" width="7" style="653" customWidth="1"/>
    <col min="10765" max="10765" width="8.125" style="653" customWidth="1"/>
    <col min="10766" max="10766" width="10" style="653" customWidth="1"/>
    <col min="10767" max="10767" width="9.375" style="653" customWidth="1"/>
    <col min="10768" max="10768" width="10.375" style="653" customWidth="1"/>
    <col min="10769" max="10769" width="10.75" style="653" customWidth="1"/>
    <col min="10770" max="10770" width="9.75" style="653" customWidth="1"/>
    <col min="10771" max="10771" width="10.75" style="653" customWidth="1"/>
    <col min="10772" max="10772" width="7" style="653" customWidth="1"/>
    <col min="10773" max="10774" width="8.25" style="653" customWidth="1"/>
    <col min="10775" max="10776" width="10" style="653" customWidth="1"/>
    <col min="10777" max="10778" width="10.75" style="653" customWidth="1"/>
    <col min="10779" max="10779" width="9.75" style="653" customWidth="1"/>
    <col min="10780" max="10780" width="7" style="653" customWidth="1"/>
    <col min="10781" max="10781" width="10.25" style="653" customWidth="1"/>
    <col min="10782" max="10784" width="7" style="653" customWidth="1"/>
    <col min="10785" max="10785" width="11.75" style="653" bestFit="1" customWidth="1"/>
    <col min="10786" max="10786" width="16.25" style="653" customWidth="1"/>
    <col min="10787" max="10787" width="7.125" style="653" bestFit="1" customWidth="1"/>
    <col min="10788" max="10789" width="9" style="653"/>
    <col min="10790" max="10790" width="7.125" style="653" bestFit="1" customWidth="1"/>
    <col min="10791" max="10793" width="9" style="653"/>
    <col min="10794" max="10796" width="9.75" style="653" bestFit="1" customWidth="1"/>
    <col min="10797" max="10797" width="8.375" style="653" bestFit="1" customWidth="1"/>
    <col min="10798" max="10805" width="9.75" style="653" bestFit="1" customWidth="1"/>
    <col min="10806" max="10990" width="9" style="653"/>
    <col min="10991" max="10991" width="9" style="653" customWidth="1"/>
    <col min="10992" max="10992" width="7" style="653" customWidth="1"/>
    <col min="10993" max="10994" width="8" style="653" customWidth="1"/>
    <col min="10995" max="10995" width="10.125" style="653" customWidth="1"/>
    <col min="10996" max="10996" width="9.625" style="653" customWidth="1"/>
    <col min="10997" max="10997" width="11.875" style="653" customWidth="1"/>
    <col min="10998" max="10998" width="12.75" style="653" customWidth="1"/>
    <col min="10999" max="10999" width="9.25" style="653" customWidth="1"/>
    <col min="11000" max="11000" width="9.625" style="653" customWidth="1"/>
    <col min="11001" max="11001" width="7.75" style="653" customWidth="1"/>
    <col min="11002" max="11002" width="8.375" style="653" customWidth="1"/>
    <col min="11003" max="11003" width="5.875" style="653" customWidth="1"/>
    <col min="11004" max="11004" width="8.875" style="653" customWidth="1"/>
    <col min="11005" max="11005" width="9.25" style="653" customWidth="1"/>
    <col min="11006" max="11006" width="11.125" style="653" customWidth="1"/>
    <col min="11007" max="11007" width="11.875" style="653" customWidth="1"/>
    <col min="11008" max="11008" width="8.75" style="653" customWidth="1"/>
    <col min="11009" max="11009" width="10.25" style="653" customWidth="1"/>
    <col min="11010" max="11010" width="7" style="653" customWidth="1"/>
    <col min="11011" max="11011" width="8" style="653" customWidth="1"/>
    <col min="11012" max="11012" width="7.875" style="653" customWidth="1"/>
    <col min="11013" max="11013" width="11.125" style="653" customWidth="1"/>
    <col min="11014" max="11014" width="10.125" style="653" customWidth="1"/>
    <col min="11015" max="11015" width="11.875" style="653" customWidth="1"/>
    <col min="11016" max="11016" width="11.75" style="653" customWidth="1"/>
    <col min="11017" max="11017" width="9.75" style="653" customWidth="1"/>
    <col min="11018" max="11018" width="10.375" style="653" customWidth="1"/>
    <col min="11019" max="11020" width="7" style="653" customWidth="1"/>
    <col min="11021" max="11021" width="8.125" style="653" customWidth="1"/>
    <col min="11022" max="11022" width="10" style="653" customWidth="1"/>
    <col min="11023" max="11023" width="9.375" style="653" customWidth="1"/>
    <col min="11024" max="11024" width="10.375" style="653" customWidth="1"/>
    <col min="11025" max="11025" width="10.75" style="653" customWidth="1"/>
    <col min="11026" max="11026" width="9.75" style="653" customWidth="1"/>
    <col min="11027" max="11027" width="10.75" style="653" customWidth="1"/>
    <col min="11028" max="11028" width="7" style="653" customWidth="1"/>
    <col min="11029" max="11030" width="8.25" style="653" customWidth="1"/>
    <col min="11031" max="11032" width="10" style="653" customWidth="1"/>
    <col min="11033" max="11034" width="10.75" style="653" customWidth="1"/>
    <col min="11035" max="11035" width="9.75" style="653" customWidth="1"/>
    <col min="11036" max="11036" width="7" style="653" customWidth="1"/>
    <col min="11037" max="11037" width="10.25" style="653" customWidth="1"/>
    <col min="11038" max="11040" width="7" style="653" customWidth="1"/>
    <col min="11041" max="11041" width="11.75" style="653" bestFit="1" customWidth="1"/>
    <col min="11042" max="11042" width="16.25" style="653" customWidth="1"/>
    <col min="11043" max="11043" width="7.125" style="653" bestFit="1" customWidth="1"/>
    <col min="11044" max="11045" width="9" style="653"/>
    <col min="11046" max="11046" width="7.125" style="653" bestFit="1" customWidth="1"/>
    <col min="11047" max="11049" width="9" style="653"/>
    <col min="11050" max="11052" width="9.75" style="653" bestFit="1" customWidth="1"/>
    <col min="11053" max="11053" width="8.375" style="653" bestFit="1" customWidth="1"/>
    <col min="11054" max="11061" width="9.75" style="653" bestFit="1" customWidth="1"/>
    <col min="11062" max="11246" width="9" style="653"/>
    <col min="11247" max="11247" width="9" style="653" customWidth="1"/>
    <col min="11248" max="11248" width="7" style="653" customWidth="1"/>
    <col min="11249" max="11250" width="8" style="653" customWidth="1"/>
    <col min="11251" max="11251" width="10.125" style="653" customWidth="1"/>
    <col min="11252" max="11252" width="9.625" style="653" customWidth="1"/>
    <col min="11253" max="11253" width="11.875" style="653" customWidth="1"/>
    <col min="11254" max="11254" width="12.75" style="653" customWidth="1"/>
    <col min="11255" max="11255" width="9.25" style="653" customWidth="1"/>
    <col min="11256" max="11256" width="9.625" style="653" customWidth="1"/>
    <col min="11257" max="11257" width="7.75" style="653" customWidth="1"/>
    <col min="11258" max="11258" width="8.375" style="653" customWidth="1"/>
    <col min="11259" max="11259" width="5.875" style="653" customWidth="1"/>
    <col min="11260" max="11260" width="8.875" style="653" customWidth="1"/>
    <col min="11261" max="11261" width="9.25" style="653" customWidth="1"/>
    <col min="11262" max="11262" width="11.125" style="653" customWidth="1"/>
    <col min="11263" max="11263" width="11.875" style="653" customWidth="1"/>
    <col min="11264" max="11264" width="8.75" style="653" customWidth="1"/>
    <col min="11265" max="11265" width="10.25" style="653" customWidth="1"/>
    <col min="11266" max="11266" width="7" style="653" customWidth="1"/>
    <col min="11267" max="11267" width="8" style="653" customWidth="1"/>
    <col min="11268" max="11268" width="7.875" style="653" customWidth="1"/>
    <col min="11269" max="11269" width="11.125" style="653" customWidth="1"/>
    <col min="11270" max="11270" width="10.125" style="653" customWidth="1"/>
    <col min="11271" max="11271" width="11.875" style="653" customWidth="1"/>
    <col min="11272" max="11272" width="11.75" style="653" customWidth="1"/>
    <col min="11273" max="11273" width="9.75" style="653" customWidth="1"/>
    <col min="11274" max="11274" width="10.375" style="653" customWidth="1"/>
    <col min="11275" max="11276" width="7" style="653" customWidth="1"/>
    <col min="11277" max="11277" width="8.125" style="653" customWidth="1"/>
    <col min="11278" max="11278" width="10" style="653" customWidth="1"/>
    <col min="11279" max="11279" width="9.375" style="653" customWidth="1"/>
    <col min="11280" max="11280" width="10.375" style="653" customWidth="1"/>
    <col min="11281" max="11281" width="10.75" style="653" customWidth="1"/>
    <col min="11282" max="11282" width="9.75" style="653" customWidth="1"/>
    <col min="11283" max="11283" width="10.75" style="653" customWidth="1"/>
    <col min="11284" max="11284" width="7" style="653" customWidth="1"/>
    <col min="11285" max="11286" width="8.25" style="653" customWidth="1"/>
    <col min="11287" max="11288" width="10" style="653" customWidth="1"/>
    <col min="11289" max="11290" width="10.75" style="653" customWidth="1"/>
    <col min="11291" max="11291" width="9.75" style="653" customWidth="1"/>
    <col min="11292" max="11292" width="7" style="653" customWidth="1"/>
    <col min="11293" max="11293" width="10.25" style="653" customWidth="1"/>
    <col min="11294" max="11296" width="7" style="653" customWidth="1"/>
    <col min="11297" max="11297" width="11.75" style="653" bestFit="1" customWidth="1"/>
    <col min="11298" max="11298" width="16.25" style="653" customWidth="1"/>
    <col min="11299" max="11299" width="7.125" style="653" bestFit="1" customWidth="1"/>
    <col min="11300" max="11301" width="9" style="653"/>
    <col min="11302" max="11302" width="7.125" style="653" bestFit="1" customWidth="1"/>
    <col min="11303" max="11305" width="9" style="653"/>
    <col min="11306" max="11308" width="9.75" style="653" bestFit="1" customWidth="1"/>
    <col min="11309" max="11309" width="8.375" style="653" bestFit="1" customWidth="1"/>
    <col min="11310" max="11317" width="9.75" style="653" bestFit="1" customWidth="1"/>
    <col min="11318" max="11502" width="9" style="653"/>
    <col min="11503" max="11503" width="9" style="653" customWidth="1"/>
    <col min="11504" max="11504" width="7" style="653" customWidth="1"/>
    <col min="11505" max="11506" width="8" style="653" customWidth="1"/>
    <col min="11507" max="11507" width="10.125" style="653" customWidth="1"/>
    <col min="11508" max="11508" width="9.625" style="653" customWidth="1"/>
    <col min="11509" max="11509" width="11.875" style="653" customWidth="1"/>
    <col min="11510" max="11510" width="12.75" style="653" customWidth="1"/>
    <col min="11511" max="11511" width="9.25" style="653" customWidth="1"/>
    <col min="11512" max="11512" width="9.625" style="653" customWidth="1"/>
    <col min="11513" max="11513" width="7.75" style="653" customWidth="1"/>
    <col min="11514" max="11514" width="8.375" style="653" customWidth="1"/>
    <col min="11515" max="11515" width="5.875" style="653" customWidth="1"/>
    <col min="11516" max="11516" width="8.875" style="653" customWidth="1"/>
    <col min="11517" max="11517" width="9.25" style="653" customWidth="1"/>
    <col min="11518" max="11518" width="11.125" style="653" customWidth="1"/>
    <col min="11519" max="11519" width="11.875" style="653" customWidth="1"/>
    <col min="11520" max="11520" width="8.75" style="653" customWidth="1"/>
    <col min="11521" max="11521" width="10.25" style="653" customWidth="1"/>
    <col min="11522" max="11522" width="7" style="653" customWidth="1"/>
    <col min="11523" max="11523" width="8" style="653" customWidth="1"/>
    <col min="11524" max="11524" width="7.875" style="653" customWidth="1"/>
    <col min="11525" max="11525" width="11.125" style="653" customWidth="1"/>
    <col min="11526" max="11526" width="10.125" style="653" customWidth="1"/>
    <col min="11527" max="11527" width="11.875" style="653" customWidth="1"/>
    <col min="11528" max="11528" width="11.75" style="653" customWidth="1"/>
    <col min="11529" max="11529" width="9.75" style="653" customWidth="1"/>
    <col min="11530" max="11530" width="10.375" style="653" customWidth="1"/>
    <col min="11531" max="11532" width="7" style="653" customWidth="1"/>
    <col min="11533" max="11533" width="8.125" style="653" customWidth="1"/>
    <col min="11534" max="11534" width="10" style="653" customWidth="1"/>
    <col min="11535" max="11535" width="9.375" style="653" customWidth="1"/>
    <col min="11536" max="11536" width="10.375" style="653" customWidth="1"/>
    <col min="11537" max="11537" width="10.75" style="653" customWidth="1"/>
    <col min="11538" max="11538" width="9.75" style="653" customWidth="1"/>
    <col min="11539" max="11539" width="10.75" style="653" customWidth="1"/>
    <col min="11540" max="11540" width="7" style="653" customWidth="1"/>
    <col min="11541" max="11542" width="8.25" style="653" customWidth="1"/>
    <col min="11543" max="11544" width="10" style="653" customWidth="1"/>
    <col min="11545" max="11546" width="10.75" style="653" customWidth="1"/>
    <col min="11547" max="11547" width="9.75" style="653" customWidth="1"/>
    <col min="11548" max="11548" width="7" style="653" customWidth="1"/>
    <col min="11549" max="11549" width="10.25" style="653" customWidth="1"/>
    <col min="11550" max="11552" width="7" style="653" customWidth="1"/>
    <col min="11553" max="11553" width="11.75" style="653" bestFit="1" customWidth="1"/>
    <col min="11554" max="11554" width="16.25" style="653" customWidth="1"/>
    <col min="11555" max="11555" width="7.125" style="653" bestFit="1" customWidth="1"/>
    <col min="11556" max="11557" width="9" style="653"/>
    <col min="11558" max="11558" width="7.125" style="653" bestFit="1" customWidth="1"/>
    <col min="11559" max="11561" width="9" style="653"/>
    <col min="11562" max="11564" width="9.75" style="653" bestFit="1" customWidth="1"/>
    <col min="11565" max="11565" width="8.375" style="653" bestFit="1" customWidth="1"/>
    <col min="11566" max="11573" width="9.75" style="653" bestFit="1" customWidth="1"/>
    <col min="11574" max="11758" width="9" style="653"/>
    <col min="11759" max="11759" width="9" style="653" customWidth="1"/>
    <col min="11760" max="11760" width="7" style="653" customWidth="1"/>
    <col min="11761" max="11762" width="8" style="653" customWidth="1"/>
    <col min="11763" max="11763" width="10.125" style="653" customWidth="1"/>
    <col min="11764" max="11764" width="9.625" style="653" customWidth="1"/>
    <col min="11765" max="11765" width="11.875" style="653" customWidth="1"/>
    <col min="11766" max="11766" width="12.75" style="653" customWidth="1"/>
    <col min="11767" max="11767" width="9.25" style="653" customWidth="1"/>
    <col min="11768" max="11768" width="9.625" style="653" customWidth="1"/>
    <col min="11769" max="11769" width="7.75" style="653" customWidth="1"/>
    <col min="11770" max="11770" width="8.375" style="653" customWidth="1"/>
    <col min="11771" max="11771" width="5.875" style="653" customWidth="1"/>
    <col min="11772" max="11772" width="8.875" style="653" customWidth="1"/>
    <col min="11773" max="11773" width="9.25" style="653" customWidth="1"/>
    <col min="11774" max="11774" width="11.125" style="653" customWidth="1"/>
    <col min="11775" max="11775" width="11.875" style="653" customWidth="1"/>
    <col min="11776" max="11776" width="8.75" style="653" customWidth="1"/>
    <col min="11777" max="11777" width="10.25" style="653" customWidth="1"/>
    <col min="11778" max="11778" width="7" style="653" customWidth="1"/>
    <col min="11779" max="11779" width="8" style="653" customWidth="1"/>
    <col min="11780" max="11780" width="7.875" style="653" customWidth="1"/>
    <col min="11781" max="11781" width="11.125" style="653" customWidth="1"/>
    <col min="11782" max="11782" width="10.125" style="653" customWidth="1"/>
    <col min="11783" max="11783" width="11.875" style="653" customWidth="1"/>
    <col min="11784" max="11784" width="11.75" style="653" customWidth="1"/>
    <col min="11785" max="11785" width="9.75" style="653" customWidth="1"/>
    <col min="11786" max="11786" width="10.375" style="653" customWidth="1"/>
    <col min="11787" max="11788" width="7" style="653" customWidth="1"/>
    <col min="11789" max="11789" width="8.125" style="653" customWidth="1"/>
    <col min="11790" max="11790" width="10" style="653" customWidth="1"/>
    <col min="11791" max="11791" width="9.375" style="653" customWidth="1"/>
    <col min="11792" max="11792" width="10.375" style="653" customWidth="1"/>
    <col min="11793" max="11793" width="10.75" style="653" customWidth="1"/>
    <col min="11794" max="11794" width="9.75" style="653" customWidth="1"/>
    <col min="11795" max="11795" width="10.75" style="653" customWidth="1"/>
    <col min="11796" max="11796" width="7" style="653" customWidth="1"/>
    <col min="11797" max="11798" width="8.25" style="653" customWidth="1"/>
    <col min="11799" max="11800" width="10" style="653" customWidth="1"/>
    <col min="11801" max="11802" width="10.75" style="653" customWidth="1"/>
    <col min="11803" max="11803" width="9.75" style="653" customWidth="1"/>
    <col min="11804" max="11804" width="7" style="653" customWidth="1"/>
    <col min="11805" max="11805" width="10.25" style="653" customWidth="1"/>
    <col min="11806" max="11808" width="7" style="653" customWidth="1"/>
    <col min="11809" max="11809" width="11.75" style="653" bestFit="1" customWidth="1"/>
    <col min="11810" max="11810" width="16.25" style="653" customWidth="1"/>
    <col min="11811" max="11811" width="7.125" style="653" bestFit="1" customWidth="1"/>
    <col min="11812" max="11813" width="9" style="653"/>
    <col min="11814" max="11814" width="7.125" style="653" bestFit="1" customWidth="1"/>
    <col min="11815" max="11817" width="9" style="653"/>
    <col min="11818" max="11820" width="9.75" style="653" bestFit="1" customWidth="1"/>
    <col min="11821" max="11821" width="8.375" style="653" bestFit="1" customWidth="1"/>
    <col min="11822" max="11829" width="9.75" style="653" bestFit="1" customWidth="1"/>
    <col min="11830" max="12014" width="9" style="653"/>
    <col min="12015" max="12015" width="9" style="653" customWidth="1"/>
    <col min="12016" max="12016" width="7" style="653" customWidth="1"/>
    <col min="12017" max="12018" width="8" style="653" customWidth="1"/>
    <col min="12019" max="12019" width="10.125" style="653" customWidth="1"/>
    <col min="12020" max="12020" width="9.625" style="653" customWidth="1"/>
    <col min="12021" max="12021" width="11.875" style="653" customWidth="1"/>
    <col min="12022" max="12022" width="12.75" style="653" customWidth="1"/>
    <col min="12023" max="12023" width="9.25" style="653" customWidth="1"/>
    <col min="12024" max="12024" width="9.625" style="653" customWidth="1"/>
    <col min="12025" max="12025" width="7.75" style="653" customWidth="1"/>
    <col min="12026" max="12026" width="8.375" style="653" customWidth="1"/>
    <col min="12027" max="12027" width="5.875" style="653" customWidth="1"/>
    <col min="12028" max="12028" width="8.875" style="653" customWidth="1"/>
    <col min="12029" max="12029" width="9.25" style="653" customWidth="1"/>
    <col min="12030" max="12030" width="11.125" style="653" customWidth="1"/>
    <col min="12031" max="12031" width="11.875" style="653" customWidth="1"/>
    <col min="12032" max="12032" width="8.75" style="653" customWidth="1"/>
    <col min="12033" max="12033" width="10.25" style="653" customWidth="1"/>
    <col min="12034" max="12034" width="7" style="653" customWidth="1"/>
    <col min="12035" max="12035" width="8" style="653" customWidth="1"/>
    <col min="12036" max="12036" width="7.875" style="653" customWidth="1"/>
    <col min="12037" max="12037" width="11.125" style="653" customWidth="1"/>
    <col min="12038" max="12038" width="10.125" style="653" customWidth="1"/>
    <col min="12039" max="12039" width="11.875" style="653" customWidth="1"/>
    <col min="12040" max="12040" width="11.75" style="653" customWidth="1"/>
    <col min="12041" max="12041" width="9.75" style="653" customWidth="1"/>
    <col min="12042" max="12042" width="10.375" style="653" customWidth="1"/>
    <col min="12043" max="12044" width="7" style="653" customWidth="1"/>
    <col min="12045" max="12045" width="8.125" style="653" customWidth="1"/>
    <col min="12046" max="12046" width="10" style="653" customWidth="1"/>
    <col min="12047" max="12047" width="9.375" style="653" customWidth="1"/>
    <col min="12048" max="12048" width="10.375" style="653" customWidth="1"/>
    <col min="12049" max="12049" width="10.75" style="653" customWidth="1"/>
    <col min="12050" max="12050" width="9.75" style="653" customWidth="1"/>
    <col min="12051" max="12051" width="10.75" style="653" customWidth="1"/>
    <col min="12052" max="12052" width="7" style="653" customWidth="1"/>
    <col min="12053" max="12054" width="8.25" style="653" customWidth="1"/>
    <col min="12055" max="12056" width="10" style="653" customWidth="1"/>
    <col min="12057" max="12058" width="10.75" style="653" customWidth="1"/>
    <col min="12059" max="12059" width="9.75" style="653" customWidth="1"/>
    <col min="12060" max="12060" width="7" style="653" customWidth="1"/>
    <col min="12061" max="12061" width="10.25" style="653" customWidth="1"/>
    <col min="12062" max="12064" width="7" style="653" customWidth="1"/>
    <col min="12065" max="12065" width="11.75" style="653" bestFit="1" customWidth="1"/>
    <col min="12066" max="12066" width="16.25" style="653" customWidth="1"/>
    <col min="12067" max="12067" width="7.125" style="653" bestFit="1" customWidth="1"/>
    <col min="12068" max="12069" width="9" style="653"/>
    <col min="12070" max="12070" width="7.125" style="653" bestFit="1" customWidth="1"/>
    <col min="12071" max="12073" width="9" style="653"/>
    <col min="12074" max="12076" width="9.75" style="653" bestFit="1" customWidth="1"/>
    <col min="12077" max="12077" width="8.375" style="653" bestFit="1" customWidth="1"/>
    <col min="12078" max="12085" width="9.75" style="653" bestFit="1" customWidth="1"/>
    <col min="12086" max="12270" width="9" style="653"/>
    <col min="12271" max="12271" width="9" style="653" customWidth="1"/>
    <col min="12272" max="12272" width="7" style="653" customWidth="1"/>
    <col min="12273" max="12274" width="8" style="653" customWidth="1"/>
    <col min="12275" max="12275" width="10.125" style="653" customWidth="1"/>
    <col min="12276" max="12276" width="9.625" style="653" customWidth="1"/>
    <col min="12277" max="12277" width="11.875" style="653" customWidth="1"/>
    <col min="12278" max="12278" width="12.75" style="653" customWidth="1"/>
    <col min="12279" max="12279" width="9.25" style="653" customWidth="1"/>
    <col min="12280" max="12280" width="9.625" style="653" customWidth="1"/>
    <col min="12281" max="12281" width="7.75" style="653" customWidth="1"/>
    <col min="12282" max="12282" width="8.375" style="653" customWidth="1"/>
    <col min="12283" max="12283" width="5.875" style="653" customWidth="1"/>
    <col min="12284" max="12284" width="8.875" style="653" customWidth="1"/>
    <col min="12285" max="12285" width="9.25" style="653" customWidth="1"/>
    <col min="12286" max="12286" width="11.125" style="653" customWidth="1"/>
    <col min="12287" max="12287" width="11.875" style="653" customWidth="1"/>
    <col min="12288" max="12288" width="8.75" style="653" customWidth="1"/>
    <col min="12289" max="12289" width="10.25" style="653" customWidth="1"/>
    <col min="12290" max="12290" width="7" style="653" customWidth="1"/>
    <col min="12291" max="12291" width="8" style="653" customWidth="1"/>
    <col min="12292" max="12292" width="7.875" style="653" customWidth="1"/>
    <col min="12293" max="12293" width="11.125" style="653" customWidth="1"/>
    <col min="12294" max="12294" width="10.125" style="653" customWidth="1"/>
    <col min="12295" max="12295" width="11.875" style="653" customWidth="1"/>
    <col min="12296" max="12296" width="11.75" style="653" customWidth="1"/>
    <col min="12297" max="12297" width="9.75" style="653" customWidth="1"/>
    <col min="12298" max="12298" width="10.375" style="653" customWidth="1"/>
    <col min="12299" max="12300" width="7" style="653" customWidth="1"/>
    <col min="12301" max="12301" width="8.125" style="653" customWidth="1"/>
    <col min="12302" max="12302" width="10" style="653" customWidth="1"/>
    <col min="12303" max="12303" width="9.375" style="653" customWidth="1"/>
    <col min="12304" max="12304" width="10.375" style="653" customWidth="1"/>
    <col min="12305" max="12305" width="10.75" style="653" customWidth="1"/>
    <col min="12306" max="12306" width="9.75" style="653" customWidth="1"/>
    <col min="12307" max="12307" width="10.75" style="653" customWidth="1"/>
    <col min="12308" max="12308" width="7" style="653" customWidth="1"/>
    <col min="12309" max="12310" width="8.25" style="653" customWidth="1"/>
    <col min="12311" max="12312" width="10" style="653" customWidth="1"/>
    <col min="12313" max="12314" width="10.75" style="653" customWidth="1"/>
    <col min="12315" max="12315" width="9.75" style="653" customWidth="1"/>
    <col min="12316" max="12316" width="7" style="653" customWidth="1"/>
    <col min="12317" max="12317" width="10.25" style="653" customWidth="1"/>
    <col min="12318" max="12320" width="7" style="653" customWidth="1"/>
    <col min="12321" max="12321" width="11.75" style="653" bestFit="1" customWidth="1"/>
    <col min="12322" max="12322" width="16.25" style="653" customWidth="1"/>
    <col min="12323" max="12323" width="7.125" style="653" bestFit="1" customWidth="1"/>
    <col min="12324" max="12325" width="9" style="653"/>
    <col min="12326" max="12326" width="7.125" style="653" bestFit="1" customWidth="1"/>
    <col min="12327" max="12329" width="9" style="653"/>
    <col min="12330" max="12332" width="9.75" style="653" bestFit="1" customWidth="1"/>
    <col min="12333" max="12333" width="8.375" style="653" bestFit="1" customWidth="1"/>
    <col min="12334" max="12341" width="9.75" style="653" bestFit="1" customWidth="1"/>
    <col min="12342" max="12526" width="9" style="653"/>
    <col min="12527" max="12527" width="9" style="653" customWidth="1"/>
    <col min="12528" max="12528" width="7" style="653" customWidth="1"/>
    <col min="12529" max="12530" width="8" style="653" customWidth="1"/>
    <col min="12531" max="12531" width="10.125" style="653" customWidth="1"/>
    <col min="12532" max="12532" width="9.625" style="653" customWidth="1"/>
    <col min="12533" max="12533" width="11.875" style="653" customWidth="1"/>
    <col min="12534" max="12534" width="12.75" style="653" customWidth="1"/>
    <col min="12535" max="12535" width="9.25" style="653" customWidth="1"/>
    <col min="12536" max="12536" width="9.625" style="653" customWidth="1"/>
    <col min="12537" max="12537" width="7.75" style="653" customWidth="1"/>
    <col min="12538" max="12538" width="8.375" style="653" customWidth="1"/>
    <col min="12539" max="12539" width="5.875" style="653" customWidth="1"/>
    <col min="12540" max="12540" width="8.875" style="653" customWidth="1"/>
    <col min="12541" max="12541" width="9.25" style="653" customWidth="1"/>
    <col min="12542" max="12542" width="11.125" style="653" customWidth="1"/>
    <col min="12543" max="12543" width="11.875" style="653" customWidth="1"/>
    <col min="12544" max="12544" width="8.75" style="653" customWidth="1"/>
    <col min="12545" max="12545" width="10.25" style="653" customWidth="1"/>
    <col min="12546" max="12546" width="7" style="653" customWidth="1"/>
    <col min="12547" max="12547" width="8" style="653" customWidth="1"/>
    <col min="12548" max="12548" width="7.875" style="653" customWidth="1"/>
    <col min="12549" max="12549" width="11.125" style="653" customWidth="1"/>
    <col min="12550" max="12550" width="10.125" style="653" customWidth="1"/>
    <col min="12551" max="12551" width="11.875" style="653" customWidth="1"/>
    <col min="12552" max="12552" width="11.75" style="653" customWidth="1"/>
    <col min="12553" max="12553" width="9.75" style="653" customWidth="1"/>
    <col min="12554" max="12554" width="10.375" style="653" customWidth="1"/>
    <col min="12555" max="12556" width="7" style="653" customWidth="1"/>
    <col min="12557" max="12557" width="8.125" style="653" customWidth="1"/>
    <col min="12558" max="12558" width="10" style="653" customWidth="1"/>
    <col min="12559" max="12559" width="9.375" style="653" customWidth="1"/>
    <col min="12560" max="12560" width="10.375" style="653" customWidth="1"/>
    <col min="12561" max="12561" width="10.75" style="653" customWidth="1"/>
    <col min="12562" max="12562" width="9.75" style="653" customWidth="1"/>
    <col min="12563" max="12563" width="10.75" style="653" customWidth="1"/>
    <col min="12564" max="12564" width="7" style="653" customWidth="1"/>
    <col min="12565" max="12566" width="8.25" style="653" customWidth="1"/>
    <col min="12567" max="12568" width="10" style="653" customWidth="1"/>
    <col min="12569" max="12570" width="10.75" style="653" customWidth="1"/>
    <col min="12571" max="12571" width="9.75" style="653" customWidth="1"/>
    <col min="12572" max="12572" width="7" style="653" customWidth="1"/>
    <col min="12573" max="12573" width="10.25" style="653" customWidth="1"/>
    <col min="12574" max="12576" width="7" style="653" customWidth="1"/>
    <col min="12577" max="12577" width="11.75" style="653" bestFit="1" customWidth="1"/>
    <col min="12578" max="12578" width="16.25" style="653" customWidth="1"/>
    <col min="12579" max="12579" width="7.125" style="653" bestFit="1" customWidth="1"/>
    <col min="12580" max="12581" width="9" style="653"/>
    <col min="12582" max="12582" width="7.125" style="653" bestFit="1" customWidth="1"/>
    <col min="12583" max="12585" width="9" style="653"/>
    <col min="12586" max="12588" width="9.75" style="653" bestFit="1" customWidth="1"/>
    <col min="12589" max="12589" width="8.375" style="653" bestFit="1" customWidth="1"/>
    <col min="12590" max="12597" width="9.75" style="653" bestFit="1" customWidth="1"/>
    <col min="12598" max="12782" width="9" style="653"/>
    <col min="12783" max="12783" width="9" style="653" customWidth="1"/>
    <col min="12784" max="12784" width="7" style="653" customWidth="1"/>
    <col min="12785" max="12786" width="8" style="653" customWidth="1"/>
    <col min="12787" max="12787" width="10.125" style="653" customWidth="1"/>
    <col min="12788" max="12788" width="9.625" style="653" customWidth="1"/>
    <col min="12789" max="12789" width="11.875" style="653" customWidth="1"/>
    <col min="12790" max="12790" width="12.75" style="653" customWidth="1"/>
    <col min="12791" max="12791" width="9.25" style="653" customWidth="1"/>
    <col min="12792" max="12792" width="9.625" style="653" customWidth="1"/>
    <col min="12793" max="12793" width="7.75" style="653" customWidth="1"/>
    <col min="12794" max="12794" width="8.375" style="653" customWidth="1"/>
    <col min="12795" max="12795" width="5.875" style="653" customWidth="1"/>
    <col min="12796" max="12796" width="8.875" style="653" customWidth="1"/>
    <col min="12797" max="12797" width="9.25" style="653" customWidth="1"/>
    <col min="12798" max="12798" width="11.125" style="653" customWidth="1"/>
    <col min="12799" max="12799" width="11.875" style="653" customWidth="1"/>
    <col min="12800" max="12800" width="8.75" style="653" customWidth="1"/>
    <col min="12801" max="12801" width="10.25" style="653" customWidth="1"/>
    <col min="12802" max="12802" width="7" style="653" customWidth="1"/>
    <col min="12803" max="12803" width="8" style="653" customWidth="1"/>
    <col min="12804" max="12804" width="7.875" style="653" customWidth="1"/>
    <col min="12805" max="12805" width="11.125" style="653" customWidth="1"/>
    <col min="12806" max="12806" width="10.125" style="653" customWidth="1"/>
    <col min="12807" max="12807" width="11.875" style="653" customWidth="1"/>
    <col min="12808" max="12808" width="11.75" style="653" customWidth="1"/>
    <col min="12809" max="12809" width="9.75" style="653" customWidth="1"/>
    <col min="12810" max="12810" width="10.375" style="653" customWidth="1"/>
    <col min="12811" max="12812" width="7" style="653" customWidth="1"/>
    <col min="12813" max="12813" width="8.125" style="653" customWidth="1"/>
    <col min="12814" max="12814" width="10" style="653" customWidth="1"/>
    <col min="12815" max="12815" width="9.375" style="653" customWidth="1"/>
    <col min="12816" max="12816" width="10.375" style="653" customWidth="1"/>
    <col min="12817" max="12817" width="10.75" style="653" customWidth="1"/>
    <col min="12818" max="12818" width="9.75" style="653" customWidth="1"/>
    <col min="12819" max="12819" width="10.75" style="653" customWidth="1"/>
    <col min="12820" max="12820" width="7" style="653" customWidth="1"/>
    <col min="12821" max="12822" width="8.25" style="653" customWidth="1"/>
    <col min="12823" max="12824" width="10" style="653" customWidth="1"/>
    <col min="12825" max="12826" width="10.75" style="653" customWidth="1"/>
    <col min="12827" max="12827" width="9.75" style="653" customWidth="1"/>
    <col min="12828" max="12828" width="7" style="653" customWidth="1"/>
    <col min="12829" max="12829" width="10.25" style="653" customWidth="1"/>
    <col min="12830" max="12832" width="7" style="653" customWidth="1"/>
    <col min="12833" max="12833" width="11.75" style="653" bestFit="1" customWidth="1"/>
    <col min="12834" max="12834" width="16.25" style="653" customWidth="1"/>
    <col min="12835" max="12835" width="7.125" style="653" bestFit="1" customWidth="1"/>
    <col min="12836" max="12837" width="9" style="653"/>
    <col min="12838" max="12838" width="7.125" style="653" bestFit="1" customWidth="1"/>
    <col min="12839" max="12841" width="9" style="653"/>
    <col min="12842" max="12844" width="9.75" style="653" bestFit="1" customWidth="1"/>
    <col min="12845" max="12845" width="8.375" style="653" bestFit="1" customWidth="1"/>
    <col min="12846" max="12853" width="9.75" style="653" bestFit="1" customWidth="1"/>
    <col min="12854" max="13038" width="9" style="653"/>
    <col min="13039" max="13039" width="9" style="653" customWidth="1"/>
    <col min="13040" max="13040" width="7" style="653" customWidth="1"/>
    <col min="13041" max="13042" width="8" style="653" customWidth="1"/>
    <col min="13043" max="13043" width="10.125" style="653" customWidth="1"/>
    <col min="13044" max="13044" width="9.625" style="653" customWidth="1"/>
    <col min="13045" max="13045" width="11.875" style="653" customWidth="1"/>
    <col min="13046" max="13046" width="12.75" style="653" customWidth="1"/>
    <col min="13047" max="13047" width="9.25" style="653" customWidth="1"/>
    <col min="13048" max="13048" width="9.625" style="653" customWidth="1"/>
    <col min="13049" max="13049" width="7.75" style="653" customWidth="1"/>
    <col min="13050" max="13050" width="8.375" style="653" customWidth="1"/>
    <col min="13051" max="13051" width="5.875" style="653" customWidth="1"/>
    <col min="13052" max="13052" width="8.875" style="653" customWidth="1"/>
    <col min="13053" max="13053" width="9.25" style="653" customWidth="1"/>
    <col min="13054" max="13054" width="11.125" style="653" customWidth="1"/>
    <col min="13055" max="13055" width="11.875" style="653" customWidth="1"/>
    <col min="13056" max="13056" width="8.75" style="653" customWidth="1"/>
    <col min="13057" max="13057" width="10.25" style="653" customWidth="1"/>
    <col min="13058" max="13058" width="7" style="653" customWidth="1"/>
    <col min="13059" max="13059" width="8" style="653" customWidth="1"/>
    <col min="13060" max="13060" width="7.875" style="653" customWidth="1"/>
    <col min="13061" max="13061" width="11.125" style="653" customWidth="1"/>
    <col min="13062" max="13062" width="10.125" style="653" customWidth="1"/>
    <col min="13063" max="13063" width="11.875" style="653" customWidth="1"/>
    <col min="13064" max="13064" width="11.75" style="653" customWidth="1"/>
    <col min="13065" max="13065" width="9.75" style="653" customWidth="1"/>
    <col min="13066" max="13066" width="10.375" style="653" customWidth="1"/>
    <col min="13067" max="13068" width="7" style="653" customWidth="1"/>
    <col min="13069" max="13069" width="8.125" style="653" customWidth="1"/>
    <col min="13070" max="13070" width="10" style="653" customWidth="1"/>
    <col min="13071" max="13071" width="9.375" style="653" customWidth="1"/>
    <col min="13072" max="13072" width="10.375" style="653" customWidth="1"/>
    <col min="13073" max="13073" width="10.75" style="653" customWidth="1"/>
    <col min="13074" max="13074" width="9.75" style="653" customWidth="1"/>
    <col min="13075" max="13075" width="10.75" style="653" customWidth="1"/>
    <col min="13076" max="13076" width="7" style="653" customWidth="1"/>
    <col min="13077" max="13078" width="8.25" style="653" customWidth="1"/>
    <col min="13079" max="13080" width="10" style="653" customWidth="1"/>
    <col min="13081" max="13082" width="10.75" style="653" customWidth="1"/>
    <col min="13083" max="13083" width="9.75" style="653" customWidth="1"/>
    <col min="13084" max="13084" width="7" style="653" customWidth="1"/>
    <col min="13085" max="13085" width="10.25" style="653" customWidth="1"/>
    <col min="13086" max="13088" width="7" style="653" customWidth="1"/>
    <col min="13089" max="13089" width="11.75" style="653" bestFit="1" customWidth="1"/>
    <col min="13090" max="13090" width="16.25" style="653" customWidth="1"/>
    <col min="13091" max="13091" width="7.125" style="653" bestFit="1" customWidth="1"/>
    <col min="13092" max="13093" width="9" style="653"/>
    <col min="13094" max="13094" width="7.125" style="653" bestFit="1" customWidth="1"/>
    <col min="13095" max="13097" width="9" style="653"/>
    <col min="13098" max="13100" width="9.75" style="653" bestFit="1" customWidth="1"/>
    <col min="13101" max="13101" width="8.375" style="653" bestFit="1" customWidth="1"/>
    <col min="13102" max="13109" width="9.75" style="653" bestFit="1" customWidth="1"/>
    <col min="13110" max="13294" width="9" style="653"/>
    <col min="13295" max="13295" width="9" style="653" customWidth="1"/>
    <col min="13296" max="13296" width="7" style="653" customWidth="1"/>
    <col min="13297" max="13298" width="8" style="653" customWidth="1"/>
    <col min="13299" max="13299" width="10.125" style="653" customWidth="1"/>
    <col min="13300" max="13300" width="9.625" style="653" customWidth="1"/>
    <col min="13301" max="13301" width="11.875" style="653" customWidth="1"/>
    <col min="13302" max="13302" width="12.75" style="653" customWidth="1"/>
    <col min="13303" max="13303" width="9.25" style="653" customWidth="1"/>
    <col min="13304" max="13304" width="9.625" style="653" customWidth="1"/>
    <col min="13305" max="13305" width="7.75" style="653" customWidth="1"/>
    <col min="13306" max="13306" width="8.375" style="653" customWidth="1"/>
    <col min="13307" max="13307" width="5.875" style="653" customWidth="1"/>
    <col min="13308" max="13308" width="8.875" style="653" customWidth="1"/>
    <col min="13309" max="13309" width="9.25" style="653" customWidth="1"/>
    <col min="13310" max="13310" width="11.125" style="653" customWidth="1"/>
    <col min="13311" max="13311" width="11.875" style="653" customWidth="1"/>
    <col min="13312" max="13312" width="8.75" style="653" customWidth="1"/>
    <col min="13313" max="13313" width="10.25" style="653" customWidth="1"/>
    <col min="13314" max="13314" width="7" style="653" customWidth="1"/>
    <col min="13315" max="13315" width="8" style="653" customWidth="1"/>
    <col min="13316" max="13316" width="7.875" style="653" customWidth="1"/>
    <col min="13317" max="13317" width="11.125" style="653" customWidth="1"/>
    <col min="13318" max="13318" width="10.125" style="653" customWidth="1"/>
    <col min="13319" max="13319" width="11.875" style="653" customWidth="1"/>
    <col min="13320" max="13320" width="11.75" style="653" customWidth="1"/>
    <col min="13321" max="13321" width="9.75" style="653" customWidth="1"/>
    <col min="13322" max="13322" width="10.375" style="653" customWidth="1"/>
    <col min="13323" max="13324" width="7" style="653" customWidth="1"/>
    <col min="13325" max="13325" width="8.125" style="653" customWidth="1"/>
    <col min="13326" max="13326" width="10" style="653" customWidth="1"/>
    <col min="13327" max="13327" width="9.375" style="653" customWidth="1"/>
    <col min="13328" max="13328" width="10.375" style="653" customWidth="1"/>
    <col min="13329" max="13329" width="10.75" style="653" customWidth="1"/>
    <col min="13330" max="13330" width="9.75" style="653" customWidth="1"/>
    <col min="13331" max="13331" width="10.75" style="653" customWidth="1"/>
    <col min="13332" max="13332" width="7" style="653" customWidth="1"/>
    <col min="13333" max="13334" width="8.25" style="653" customWidth="1"/>
    <col min="13335" max="13336" width="10" style="653" customWidth="1"/>
    <col min="13337" max="13338" width="10.75" style="653" customWidth="1"/>
    <col min="13339" max="13339" width="9.75" style="653" customWidth="1"/>
    <col min="13340" max="13340" width="7" style="653" customWidth="1"/>
    <col min="13341" max="13341" width="10.25" style="653" customWidth="1"/>
    <col min="13342" max="13344" width="7" style="653" customWidth="1"/>
    <col min="13345" max="13345" width="11.75" style="653" bestFit="1" customWidth="1"/>
    <col min="13346" max="13346" width="16.25" style="653" customWidth="1"/>
    <col min="13347" max="13347" width="7.125" style="653" bestFit="1" customWidth="1"/>
    <col min="13348" max="13349" width="9" style="653"/>
    <col min="13350" max="13350" width="7.125" style="653" bestFit="1" customWidth="1"/>
    <col min="13351" max="13353" width="9" style="653"/>
    <col min="13354" max="13356" width="9.75" style="653" bestFit="1" customWidth="1"/>
    <col min="13357" max="13357" width="8.375" style="653" bestFit="1" customWidth="1"/>
    <col min="13358" max="13365" width="9.75" style="653" bestFit="1" customWidth="1"/>
    <col min="13366" max="13550" width="9" style="653"/>
    <col min="13551" max="13551" width="9" style="653" customWidth="1"/>
    <col min="13552" max="13552" width="7" style="653" customWidth="1"/>
    <col min="13553" max="13554" width="8" style="653" customWidth="1"/>
    <col min="13555" max="13555" width="10.125" style="653" customWidth="1"/>
    <col min="13556" max="13556" width="9.625" style="653" customWidth="1"/>
    <col min="13557" max="13557" width="11.875" style="653" customWidth="1"/>
    <col min="13558" max="13558" width="12.75" style="653" customWidth="1"/>
    <col min="13559" max="13559" width="9.25" style="653" customWidth="1"/>
    <col min="13560" max="13560" width="9.625" style="653" customWidth="1"/>
    <col min="13561" max="13561" width="7.75" style="653" customWidth="1"/>
    <col min="13562" max="13562" width="8.375" style="653" customWidth="1"/>
    <col min="13563" max="13563" width="5.875" style="653" customWidth="1"/>
    <col min="13564" max="13564" width="8.875" style="653" customWidth="1"/>
    <col min="13565" max="13565" width="9.25" style="653" customWidth="1"/>
    <col min="13566" max="13566" width="11.125" style="653" customWidth="1"/>
    <col min="13567" max="13567" width="11.875" style="653" customWidth="1"/>
    <col min="13568" max="13568" width="8.75" style="653" customWidth="1"/>
    <col min="13569" max="13569" width="10.25" style="653" customWidth="1"/>
    <col min="13570" max="13570" width="7" style="653" customWidth="1"/>
    <col min="13571" max="13571" width="8" style="653" customWidth="1"/>
    <col min="13572" max="13572" width="7.875" style="653" customWidth="1"/>
    <col min="13573" max="13573" width="11.125" style="653" customWidth="1"/>
    <col min="13574" max="13574" width="10.125" style="653" customWidth="1"/>
    <col min="13575" max="13575" width="11.875" style="653" customWidth="1"/>
    <col min="13576" max="13576" width="11.75" style="653" customWidth="1"/>
    <col min="13577" max="13577" width="9.75" style="653" customWidth="1"/>
    <col min="13578" max="13578" width="10.375" style="653" customWidth="1"/>
    <col min="13579" max="13580" width="7" style="653" customWidth="1"/>
    <col min="13581" max="13581" width="8.125" style="653" customWidth="1"/>
    <col min="13582" max="13582" width="10" style="653" customWidth="1"/>
    <col min="13583" max="13583" width="9.375" style="653" customWidth="1"/>
    <col min="13584" max="13584" width="10.375" style="653" customWidth="1"/>
    <col min="13585" max="13585" width="10.75" style="653" customWidth="1"/>
    <col min="13586" max="13586" width="9.75" style="653" customWidth="1"/>
    <col min="13587" max="13587" width="10.75" style="653" customWidth="1"/>
    <col min="13588" max="13588" width="7" style="653" customWidth="1"/>
    <col min="13589" max="13590" width="8.25" style="653" customWidth="1"/>
    <col min="13591" max="13592" width="10" style="653" customWidth="1"/>
    <col min="13593" max="13594" width="10.75" style="653" customWidth="1"/>
    <col min="13595" max="13595" width="9.75" style="653" customWidth="1"/>
    <col min="13596" max="13596" width="7" style="653" customWidth="1"/>
    <col min="13597" max="13597" width="10.25" style="653" customWidth="1"/>
    <col min="13598" max="13600" width="7" style="653" customWidth="1"/>
    <col min="13601" max="13601" width="11.75" style="653" bestFit="1" customWidth="1"/>
    <col min="13602" max="13602" width="16.25" style="653" customWidth="1"/>
    <col min="13603" max="13603" width="7.125" style="653" bestFit="1" customWidth="1"/>
    <col min="13604" max="13605" width="9" style="653"/>
    <col min="13606" max="13606" width="7.125" style="653" bestFit="1" customWidth="1"/>
    <col min="13607" max="13609" width="9" style="653"/>
    <col min="13610" max="13612" width="9.75" style="653" bestFit="1" customWidth="1"/>
    <col min="13613" max="13613" width="8.375" style="653" bestFit="1" customWidth="1"/>
    <col min="13614" max="13621" width="9.75" style="653" bestFit="1" customWidth="1"/>
    <col min="13622" max="13806" width="9" style="653"/>
    <col min="13807" max="13807" width="9" style="653" customWidth="1"/>
    <col min="13808" max="13808" width="7" style="653" customWidth="1"/>
    <col min="13809" max="13810" width="8" style="653" customWidth="1"/>
    <col min="13811" max="13811" width="10.125" style="653" customWidth="1"/>
    <col min="13812" max="13812" width="9.625" style="653" customWidth="1"/>
    <col min="13813" max="13813" width="11.875" style="653" customWidth="1"/>
    <col min="13814" max="13814" width="12.75" style="653" customWidth="1"/>
    <col min="13815" max="13815" width="9.25" style="653" customWidth="1"/>
    <col min="13816" max="13816" width="9.625" style="653" customWidth="1"/>
    <col min="13817" max="13817" width="7.75" style="653" customWidth="1"/>
    <col min="13818" max="13818" width="8.375" style="653" customWidth="1"/>
    <col min="13819" max="13819" width="5.875" style="653" customWidth="1"/>
    <col min="13820" max="13820" width="8.875" style="653" customWidth="1"/>
    <col min="13821" max="13821" width="9.25" style="653" customWidth="1"/>
    <col min="13822" max="13822" width="11.125" style="653" customWidth="1"/>
    <col min="13823" max="13823" width="11.875" style="653" customWidth="1"/>
    <col min="13824" max="13824" width="8.75" style="653" customWidth="1"/>
    <col min="13825" max="13825" width="10.25" style="653" customWidth="1"/>
    <col min="13826" max="13826" width="7" style="653" customWidth="1"/>
    <col min="13827" max="13827" width="8" style="653" customWidth="1"/>
    <col min="13828" max="13828" width="7.875" style="653" customWidth="1"/>
    <col min="13829" max="13829" width="11.125" style="653" customWidth="1"/>
    <col min="13830" max="13830" width="10.125" style="653" customWidth="1"/>
    <col min="13831" max="13831" width="11.875" style="653" customWidth="1"/>
    <col min="13832" max="13832" width="11.75" style="653" customWidth="1"/>
    <col min="13833" max="13833" width="9.75" style="653" customWidth="1"/>
    <col min="13834" max="13834" width="10.375" style="653" customWidth="1"/>
    <col min="13835" max="13836" width="7" style="653" customWidth="1"/>
    <col min="13837" max="13837" width="8.125" style="653" customWidth="1"/>
    <col min="13838" max="13838" width="10" style="653" customWidth="1"/>
    <col min="13839" max="13839" width="9.375" style="653" customWidth="1"/>
    <col min="13840" max="13840" width="10.375" style="653" customWidth="1"/>
    <col min="13841" max="13841" width="10.75" style="653" customWidth="1"/>
    <col min="13842" max="13842" width="9.75" style="653" customWidth="1"/>
    <col min="13843" max="13843" width="10.75" style="653" customWidth="1"/>
    <col min="13844" max="13844" width="7" style="653" customWidth="1"/>
    <col min="13845" max="13846" width="8.25" style="653" customWidth="1"/>
    <col min="13847" max="13848" width="10" style="653" customWidth="1"/>
    <col min="13849" max="13850" width="10.75" style="653" customWidth="1"/>
    <col min="13851" max="13851" width="9.75" style="653" customWidth="1"/>
    <col min="13852" max="13852" width="7" style="653" customWidth="1"/>
    <col min="13853" max="13853" width="10.25" style="653" customWidth="1"/>
    <col min="13854" max="13856" width="7" style="653" customWidth="1"/>
    <col min="13857" max="13857" width="11.75" style="653" bestFit="1" customWidth="1"/>
    <col min="13858" max="13858" width="16.25" style="653" customWidth="1"/>
    <col min="13859" max="13859" width="7.125" style="653" bestFit="1" customWidth="1"/>
    <col min="13860" max="13861" width="9" style="653"/>
    <col min="13862" max="13862" width="7.125" style="653" bestFit="1" customWidth="1"/>
    <col min="13863" max="13865" width="9" style="653"/>
    <col min="13866" max="13868" width="9.75" style="653" bestFit="1" customWidth="1"/>
    <col min="13869" max="13869" width="8.375" style="653" bestFit="1" customWidth="1"/>
    <col min="13870" max="13877" width="9.75" style="653" bestFit="1" customWidth="1"/>
    <col min="13878" max="14062" width="9" style="653"/>
    <col min="14063" max="14063" width="9" style="653" customWidth="1"/>
    <col min="14064" max="14064" width="7" style="653" customWidth="1"/>
    <col min="14065" max="14066" width="8" style="653" customWidth="1"/>
    <col min="14067" max="14067" width="10.125" style="653" customWidth="1"/>
    <col min="14068" max="14068" width="9.625" style="653" customWidth="1"/>
    <col min="14069" max="14069" width="11.875" style="653" customWidth="1"/>
    <col min="14070" max="14070" width="12.75" style="653" customWidth="1"/>
    <col min="14071" max="14071" width="9.25" style="653" customWidth="1"/>
    <col min="14072" max="14072" width="9.625" style="653" customWidth="1"/>
    <col min="14073" max="14073" width="7.75" style="653" customWidth="1"/>
    <col min="14074" max="14074" width="8.375" style="653" customWidth="1"/>
    <col min="14075" max="14075" width="5.875" style="653" customWidth="1"/>
    <col min="14076" max="14076" width="8.875" style="653" customWidth="1"/>
    <col min="14077" max="14077" width="9.25" style="653" customWidth="1"/>
    <col min="14078" max="14078" width="11.125" style="653" customWidth="1"/>
    <col min="14079" max="14079" width="11.875" style="653" customWidth="1"/>
    <col min="14080" max="14080" width="8.75" style="653" customWidth="1"/>
    <col min="14081" max="14081" width="10.25" style="653" customWidth="1"/>
    <col min="14082" max="14082" width="7" style="653" customWidth="1"/>
    <col min="14083" max="14083" width="8" style="653" customWidth="1"/>
    <col min="14084" max="14084" width="7.875" style="653" customWidth="1"/>
    <col min="14085" max="14085" width="11.125" style="653" customWidth="1"/>
    <col min="14086" max="14086" width="10.125" style="653" customWidth="1"/>
    <col min="14087" max="14087" width="11.875" style="653" customWidth="1"/>
    <col min="14088" max="14088" width="11.75" style="653" customWidth="1"/>
    <col min="14089" max="14089" width="9.75" style="653" customWidth="1"/>
    <col min="14090" max="14090" width="10.375" style="653" customWidth="1"/>
    <col min="14091" max="14092" width="7" style="653" customWidth="1"/>
    <col min="14093" max="14093" width="8.125" style="653" customWidth="1"/>
    <col min="14094" max="14094" width="10" style="653" customWidth="1"/>
    <col min="14095" max="14095" width="9.375" style="653" customWidth="1"/>
    <col min="14096" max="14096" width="10.375" style="653" customWidth="1"/>
    <col min="14097" max="14097" width="10.75" style="653" customWidth="1"/>
    <col min="14098" max="14098" width="9.75" style="653" customWidth="1"/>
    <col min="14099" max="14099" width="10.75" style="653" customWidth="1"/>
    <col min="14100" max="14100" width="7" style="653" customWidth="1"/>
    <col min="14101" max="14102" width="8.25" style="653" customWidth="1"/>
    <col min="14103" max="14104" width="10" style="653" customWidth="1"/>
    <col min="14105" max="14106" width="10.75" style="653" customWidth="1"/>
    <col min="14107" max="14107" width="9.75" style="653" customWidth="1"/>
    <col min="14108" max="14108" width="7" style="653" customWidth="1"/>
    <col min="14109" max="14109" width="10.25" style="653" customWidth="1"/>
    <col min="14110" max="14112" width="7" style="653" customWidth="1"/>
    <col min="14113" max="14113" width="11.75" style="653" bestFit="1" customWidth="1"/>
    <col min="14114" max="14114" width="16.25" style="653" customWidth="1"/>
    <col min="14115" max="14115" width="7.125" style="653" bestFit="1" customWidth="1"/>
    <col min="14116" max="14117" width="9" style="653"/>
    <col min="14118" max="14118" width="7.125" style="653" bestFit="1" customWidth="1"/>
    <col min="14119" max="14121" width="9" style="653"/>
    <col min="14122" max="14124" width="9.75" style="653" bestFit="1" customWidth="1"/>
    <col min="14125" max="14125" width="8.375" style="653" bestFit="1" customWidth="1"/>
    <col min="14126" max="14133" width="9.75" style="653" bestFit="1" customWidth="1"/>
    <col min="14134" max="14318" width="9" style="653"/>
    <col min="14319" max="14319" width="9" style="653" customWidth="1"/>
    <col min="14320" max="14320" width="7" style="653" customWidth="1"/>
    <col min="14321" max="14322" width="8" style="653" customWidth="1"/>
    <col min="14323" max="14323" width="10.125" style="653" customWidth="1"/>
    <col min="14324" max="14324" width="9.625" style="653" customWidth="1"/>
    <col min="14325" max="14325" width="11.875" style="653" customWidth="1"/>
    <col min="14326" max="14326" width="12.75" style="653" customWidth="1"/>
    <col min="14327" max="14327" width="9.25" style="653" customWidth="1"/>
    <col min="14328" max="14328" width="9.625" style="653" customWidth="1"/>
    <col min="14329" max="14329" width="7.75" style="653" customWidth="1"/>
    <col min="14330" max="14330" width="8.375" style="653" customWidth="1"/>
    <col min="14331" max="14331" width="5.875" style="653" customWidth="1"/>
    <col min="14332" max="14332" width="8.875" style="653" customWidth="1"/>
    <col min="14333" max="14333" width="9.25" style="653" customWidth="1"/>
    <col min="14334" max="14334" width="11.125" style="653" customWidth="1"/>
    <col min="14335" max="14335" width="11.875" style="653" customWidth="1"/>
    <col min="14336" max="14336" width="8.75" style="653" customWidth="1"/>
    <col min="14337" max="14337" width="10.25" style="653" customWidth="1"/>
    <col min="14338" max="14338" width="7" style="653" customWidth="1"/>
    <col min="14339" max="14339" width="8" style="653" customWidth="1"/>
    <col min="14340" max="14340" width="7.875" style="653" customWidth="1"/>
    <col min="14341" max="14341" width="11.125" style="653" customWidth="1"/>
    <col min="14342" max="14342" width="10.125" style="653" customWidth="1"/>
    <col min="14343" max="14343" width="11.875" style="653" customWidth="1"/>
    <col min="14344" max="14344" width="11.75" style="653" customWidth="1"/>
    <col min="14345" max="14345" width="9.75" style="653" customWidth="1"/>
    <col min="14346" max="14346" width="10.375" style="653" customWidth="1"/>
    <col min="14347" max="14348" width="7" style="653" customWidth="1"/>
    <col min="14349" max="14349" width="8.125" style="653" customWidth="1"/>
    <col min="14350" max="14350" width="10" style="653" customWidth="1"/>
    <col min="14351" max="14351" width="9.375" style="653" customWidth="1"/>
    <col min="14352" max="14352" width="10.375" style="653" customWidth="1"/>
    <col min="14353" max="14353" width="10.75" style="653" customWidth="1"/>
    <col min="14354" max="14354" width="9.75" style="653" customWidth="1"/>
    <col min="14355" max="14355" width="10.75" style="653" customWidth="1"/>
    <col min="14356" max="14356" width="7" style="653" customWidth="1"/>
    <col min="14357" max="14358" width="8.25" style="653" customWidth="1"/>
    <col min="14359" max="14360" width="10" style="653" customWidth="1"/>
    <col min="14361" max="14362" width="10.75" style="653" customWidth="1"/>
    <col min="14363" max="14363" width="9.75" style="653" customWidth="1"/>
    <col min="14364" max="14364" width="7" style="653" customWidth="1"/>
    <col min="14365" max="14365" width="10.25" style="653" customWidth="1"/>
    <col min="14366" max="14368" width="7" style="653" customWidth="1"/>
    <col min="14369" max="14369" width="11.75" style="653" bestFit="1" customWidth="1"/>
    <col min="14370" max="14370" width="16.25" style="653" customWidth="1"/>
    <col min="14371" max="14371" width="7.125" style="653" bestFit="1" customWidth="1"/>
    <col min="14372" max="14373" width="9" style="653"/>
    <col min="14374" max="14374" width="7.125" style="653" bestFit="1" customWidth="1"/>
    <col min="14375" max="14377" width="9" style="653"/>
    <col min="14378" max="14380" width="9.75" style="653" bestFit="1" customWidth="1"/>
    <col min="14381" max="14381" width="8.375" style="653" bestFit="1" customWidth="1"/>
    <col min="14382" max="14389" width="9.75" style="653" bestFit="1" customWidth="1"/>
    <col min="14390" max="14574" width="9" style="653"/>
    <col min="14575" max="14575" width="9" style="653" customWidth="1"/>
    <col min="14576" max="14576" width="7" style="653" customWidth="1"/>
    <col min="14577" max="14578" width="8" style="653" customWidth="1"/>
    <col min="14579" max="14579" width="10.125" style="653" customWidth="1"/>
    <col min="14580" max="14580" width="9.625" style="653" customWidth="1"/>
    <col min="14581" max="14581" width="11.875" style="653" customWidth="1"/>
    <col min="14582" max="14582" width="12.75" style="653" customWidth="1"/>
    <col min="14583" max="14583" width="9.25" style="653" customWidth="1"/>
    <col min="14584" max="14584" width="9.625" style="653" customWidth="1"/>
    <col min="14585" max="14585" width="7.75" style="653" customWidth="1"/>
    <col min="14586" max="14586" width="8.375" style="653" customWidth="1"/>
    <col min="14587" max="14587" width="5.875" style="653" customWidth="1"/>
    <col min="14588" max="14588" width="8.875" style="653" customWidth="1"/>
    <col min="14589" max="14589" width="9.25" style="653" customWidth="1"/>
    <col min="14590" max="14590" width="11.125" style="653" customWidth="1"/>
    <col min="14591" max="14591" width="11.875" style="653" customWidth="1"/>
    <col min="14592" max="14592" width="8.75" style="653" customWidth="1"/>
    <col min="14593" max="14593" width="10.25" style="653" customWidth="1"/>
    <col min="14594" max="14594" width="7" style="653" customWidth="1"/>
    <col min="14595" max="14595" width="8" style="653" customWidth="1"/>
    <col min="14596" max="14596" width="7.875" style="653" customWidth="1"/>
    <col min="14597" max="14597" width="11.125" style="653" customWidth="1"/>
    <col min="14598" max="14598" width="10.125" style="653" customWidth="1"/>
    <col min="14599" max="14599" width="11.875" style="653" customWidth="1"/>
    <col min="14600" max="14600" width="11.75" style="653" customWidth="1"/>
    <col min="14601" max="14601" width="9.75" style="653" customWidth="1"/>
    <col min="14602" max="14602" width="10.375" style="653" customWidth="1"/>
    <col min="14603" max="14604" width="7" style="653" customWidth="1"/>
    <col min="14605" max="14605" width="8.125" style="653" customWidth="1"/>
    <col min="14606" max="14606" width="10" style="653" customWidth="1"/>
    <col min="14607" max="14607" width="9.375" style="653" customWidth="1"/>
    <col min="14608" max="14608" width="10.375" style="653" customWidth="1"/>
    <col min="14609" max="14609" width="10.75" style="653" customWidth="1"/>
    <col min="14610" max="14610" width="9.75" style="653" customWidth="1"/>
    <col min="14611" max="14611" width="10.75" style="653" customWidth="1"/>
    <col min="14612" max="14612" width="7" style="653" customWidth="1"/>
    <col min="14613" max="14614" width="8.25" style="653" customWidth="1"/>
    <col min="14615" max="14616" width="10" style="653" customWidth="1"/>
    <col min="14617" max="14618" width="10.75" style="653" customWidth="1"/>
    <col min="14619" max="14619" width="9.75" style="653" customWidth="1"/>
    <col min="14620" max="14620" width="7" style="653" customWidth="1"/>
    <col min="14621" max="14621" width="10.25" style="653" customWidth="1"/>
    <col min="14622" max="14624" width="7" style="653" customWidth="1"/>
    <col min="14625" max="14625" width="11.75" style="653" bestFit="1" customWidth="1"/>
    <col min="14626" max="14626" width="16.25" style="653" customWidth="1"/>
    <col min="14627" max="14627" width="7.125" style="653" bestFit="1" customWidth="1"/>
    <col min="14628" max="14629" width="9" style="653"/>
    <col min="14630" max="14630" width="7.125" style="653" bestFit="1" customWidth="1"/>
    <col min="14631" max="14633" width="9" style="653"/>
    <col min="14634" max="14636" width="9.75" style="653" bestFit="1" customWidth="1"/>
    <col min="14637" max="14637" width="8.375" style="653" bestFit="1" customWidth="1"/>
    <col min="14638" max="14645" width="9.75" style="653" bestFit="1" customWidth="1"/>
    <col min="14646" max="14830" width="9" style="653"/>
    <col min="14831" max="14831" width="9" style="653" customWidth="1"/>
    <col min="14832" max="14832" width="7" style="653" customWidth="1"/>
    <col min="14833" max="14834" width="8" style="653" customWidth="1"/>
    <col min="14835" max="14835" width="10.125" style="653" customWidth="1"/>
    <col min="14836" max="14836" width="9.625" style="653" customWidth="1"/>
    <col min="14837" max="14837" width="11.875" style="653" customWidth="1"/>
    <col min="14838" max="14838" width="12.75" style="653" customWidth="1"/>
    <col min="14839" max="14839" width="9.25" style="653" customWidth="1"/>
    <col min="14840" max="14840" width="9.625" style="653" customWidth="1"/>
    <col min="14841" max="14841" width="7.75" style="653" customWidth="1"/>
    <col min="14842" max="14842" width="8.375" style="653" customWidth="1"/>
    <col min="14843" max="14843" width="5.875" style="653" customWidth="1"/>
    <col min="14844" max="14844" width="8.875" style="653" customWidth="1"/>
    <col min="14845" max="14845" width="9.25" style="653" customWidth="1"/>
    <col min="14846" max="14846" width="11.125" style="653" customWidth="1"/>
    <col min="14847" max="14847" width="11.875" style="653" customWidth="1"/>
    <col min="14848" max="14848" width="8.75" style="653" customWidth="1"/>
    <col min="14849" max="14849" width="10.25" style="653" customWidth="1"/>
    <col min="14850" max="14850" width="7" style="653" customWidth="1"/>
    <col min="14851" max="14851" width="8" style="653" customWidth="1"/>
    <col min="14852" max="14852" width="7.875" style="653" customWidth="1"/>
    <col min="14853" max="14853" width="11.125" style="653" customWidth="1"/>
    <col min="14854" max="14854" width="10.125" style="653" customWidth="1"/>
    <col min="14855" max="14855" width="11.875" style="653" customWidth="1"/>
    <col min="14856" max="14856" width="11.75" style="653" customWidth="1"/>
    <col min="14857" max="14857" width="9.75" style="653" customWidth="1"/>
    <col min="14858" max="14858" width="10.375" style="653" customWidth="1"/>
    <col min="14859" max="14860" width="7" style="653" customWidth="1"/>
    <col min="14861" max="14861" width="8.125" style="653" customWidth="1"/>
    <col min="14862" max="14862" width="10" style="653" customWidth="1"/>
    <col min="14863" max="14863" width="9.375" style="653" customWidth="1"/>
    <col min="14864" max="14864" width="10.375" style="653" customWidth="1"/>
    <col min="14865" max="14865" width="10.75" style="653" customWidth="1"/>
    <col min="14866" max="14866" width="9.75" style="653" customWidth="1"/>
    <col min="14867" max="14867" width="10.75" style="653" customWidth="1"/>
    <col min="14868" max="14868" width="7" style="653" customWidth="1"/>
    <col min="14869" max="14870" width="8.25" style="653" customWidth="1"/>
    <col min="14871" max="14872" width="10" style="653" customWidth="1"/>
    <col min="14873" max="14874" width="10.75" style="653" customWidth="1"/>
    <col min="14875" max="14875" width="9.75" style="653" customWidth="1"/>
    <col min="14876" max="14876" width="7" style="653" customWidth="1"/>
    <col min="14877" max="14877" width="10.25" style="653" customWidth="1"/>
    <col min="14878" max="14880" width="7" style="653" customWidth="1"/>
    <col min="14881" max="14881" width="11.75" style="653" bestFit="1" customWidth="1"/>
    <col min="14882" max="14882" width="16.25" style="653" customWidth="1"/>
    <col min="14883" max="14883" width="7.125" style="653" bestFit="1" customWidth="1"/>
    <col min="14884" max="14885" width="9" style="653"/>
    <col min="14886" max="14886" width="7.125" style="653" bestFit="1" customWidth="1"/>
    <col min="14887" max="14889" width="9" style="653"/>
    <col min="14890" max="14892" width="9.75" style="653" bestFit="1" customWidth="1"/>
    <col min="14893" max="14893" width="8.375" style="653" bestFit="1" customWidth="1"/>
    <col min="14894" max="14901" width="9.75" style="653" bestFit="1" customWidth="1"/>
    <col min="14902" max="15086" width="9" style="653"/>
    <col min="15087" max="15087" width="9" style="653" customWidth="1"/>
    <col min="15088" max="15088" width="7" style="653" customWidth="1"/>
    <col min="15089" max="15090" width="8" style="653" customWidth="1"/>
    <col min="15091" max="15091" width="10.125" style="653" customWidth="1"/>
    <col min="15092" max="15092" width="9.625" style="653" customWidth="1"/>
    <col min="15093" max="15093" width="11.875" style="653" customWidth="1"/>
    <col min="15094" max="15094" width="12.75" style="653" customWidth="1"/>
    <col min="15095" max="15095" width="9.25" style="653" customWidth="1"/>
    <col min="15096" max="15096" width="9.625" style="653" customWidth="1"/>
    <col min="15097" max="15097" width="7.75" style="653" customWidth="1"/>
    <col min="15098" max="15098" width="8.375" style="653" customWidth="1"/>
    <col min="15099" max="15099" width="5.875" style="653" customWidth="1"/>
    <col min="15100" max="15100" width="8.875" style="653" customWidth="1"/>
    <col min="15101" max="15101" width="9.25" style="653" customWidth="1"/>
    <col min="15102" max="15102" width="11.125" style="653" customWidth="1"/>
    <col min="15103" max="15103" width="11.875" style="653" customWidth="1"/>
    <col min="15104" max="15104" width="8.75" style="653" customWidth="1"/>
    <col min="15105" max="15105" width="10.25" style="653" customWidth="1"/>
    <col min="15106" max="15106" width="7" style="653" customWidth="1"/>
    <col min="15107" max="15107" width="8" style="653" customWidth="1"/>
    <col min="15108" max="15108" width="7.875" style="653" customWidth="1"/>
    <col min="15109" max="15109" width="11.125" style="653" customWidth="1"/>
    <col min="15110" max="15110" width="10.125" style="653" customWidth="1"/>
    <col min="15111" max="15111" width="11.875" style="653" customWidth="1"/>
    <col min="15112" max="15112" width="11.75" style="653" customWidth="1"/>
    <col min="15113" max="15113" width="9.75" style="653" customWidth="1"/>
    <col min="15114" max="15114" width="10.375" style="653" customWidth="1"/>
    <col min="15115" max="15116" width="7" style="653" customWidth="1"/>
    <col min="15117" max="15117" width="8.125" style="653" customWidth="1"/>
    <col min="15118" max="15118" width="10" style="653" customWidth="1"/>
    <col min="15119" max="15119" width="9.375" style="653" customWidth="1"/>
    <col min="15120" max="15120" width="10.375" style="653" customWidth="1"/>
    <col min="15121" max="15121" width="10.75" style="653" customWidth="1"/>
    <col min="15122" max="15122" width="9.75" style="653" customWidth="1"/>
    <col min="15123" max="15123" width="10.75" style="653" customWidth="1"/>
    <col min="15124" max="15124" width="7" style="653" customWidth="1"/>
    <col min="15125" max="15126" width="8.25" style="653" customWidth="1"/>
    <col min="15127" max="15128" width="10" style="653" customWidth="1"/>
    <col min="15129" max="15130" width="10.75" style="653" customWidth="1"/>
    <col min="15131" max="15131" width="9.75" style="653" customWidth="1"/>
    <col min="15132" max="15132" width="7" style="653" customWidth="1"/>
    <col min="15133" max="15133" width="10.25" style="653" customWidth="1"/>
    <col min="15134" max="15136" width="7" style="653" customWidth="1"/>
    <col min="15137" max="15137" width="11.75" style="653" bestFit="1" customWidth="1"/>
    <col min="15138" max="15138" width="16.25" style="653" customWidth="1"/>
    <col min="15139" max="15139" width="7.125" style="653" bestFit="1" customWidth="1"/>
    <col min="15140" max="15141" width="9" style="653"/>
    <col min="15142" max="15142" width="7.125" style="653" bestFit="1" customWidth="1"/>
    <col min="15143" max="15145" width="9" style="653"/>
    <col min="15146" max="15148" width="9.75" style="653" bestFit="1" customWidth="1"/>
    <col min="15149" max="15149" width="8.375" style="653" bestFit="1" customWidth="1"/>
    <col min="15150" max="15157" width="9.75" style="653" bestFit="1" customWidth="1"/>
    <col min="15158" max="15342" width="9" style="653"/>
    <col min="15343" max="15343" width="9" style="653" customWidth="1"/>
    <col min="15344" max="15344" width="7" style="653" customWidth="1"/>
    <col min="15345" max="15346" width="8" style="653" customWidth="1"/>
    <col min="15347" max="15347" width="10.125" style="653" customWidth="1"/>
    <col min="15348" max="15348" width="9.625" style="653" customWidth="1"/>
    <col min="15349" max="15349" width="11.875" style="653" customWidth="1"/>
    <col min="15350" max="15350" width="12.75" style="653" customWidth="1"/>
    <col min="15351" max="15351" width="9.25" style="653" customWidth="1"/>
    <col min="15352" max="15352" width="9.625" style="653" customWidth="1"/>
    <col min="15353" max="15353" width="7.75" style="653" customWidth="1"/>
    <col min="15354" max="15354" width="8.375" style="653" customWidth="1"/>
    <col min="15355" max="15355" width="5.875" style="653" customWidth="1"/>
    <col min="15356" max="15356" width="8.875" style="653" customWidth="1"/>
    <col min="15357" max="15357" width="9.25" style="653" customWidth="1"/>
    <col min="15358" max="15358" width="11.125" style="653" customWidth="1"/>
    <col min="15359" max="15359" width="11.875" style="653" customWidth="1"/>
    <col min="15360" max="15360" width="8.75" style="653" customWidth="1"/>
    <col min="15361" max="15361" width="10.25" style="653" customWidth="1"/>
    <col min="15362" max="15362" width="7" style="653" customWidth="1"/>
    <col min="15363" max="15363" width="8" style="653" customWidth="1"/>
    <col min="15364" max="15364" width="7.875" style="653" customWidth="1"/>
    <col min="15365" max="15365" width="11.125" style="653" customWidth="1"/>
    <col min="15366" max="15366" width="10.125" style="653" customWidth="1"/>
    <col min="15367" max="15367" width="11.875" style="653" customWidth="1"/>
    <col min="15368" max="15368" width="11.75" style="653" customWidth="1"/>
    <col min="15369" max="15369" width="9.75" style="653" customWidth="1"/>
    <col min="15370" max="15370" width="10.375" style="653" customWidth="1"/>
    <col min="15371" max="15372" width="7" style="653" customWidth="1"/>
    <col min="15373" max="15373" width="8.125" style="653" customWidth="1"/>
    <col min="15374" max="15374" width="10" style="653" customWidth="1"/>
    <col min="15375" max="15375" width="9.375" style="653" customWidth="1"/>
    <col min="15376" max="15376" width="10.375" style="653" customWidth="1"/>
    <col min="15377" max="15377" width="10.75" style="653" customWidth="1"/>
    <col min="15378" max="15378" width="9.75" style="653" customWidth="1"/>
    <col min="15379" max="15379" width="10.75" style="653" customWidth="1"/>
    <col min="15380" max="15380" width="7" style="653" customWidth="1"/>
    <col min="15381" max="15382" width="8.25" style="653" customWidth="1"/>
    <col min="15383" max="15384" width="10" style="653" customWidth="1"/>
    <col min="15385" max="15386" width="10.75" style="653" customWidth="1"/>
    <col min="15387" max="15387" width="9.75" style="653" customWidth="1"/>
    <col min="15388" max="15388" width="7" style="653" customWidth="1"/>
    <col min="15389" max="15389" width="10.25" style="653" customWidth="1"/>
    <col min="15390" max="15392" width="7" style="653" customWidth="1"/>
    <col min="15393" max="15393" width="11.75" style="653" bestFit="1" customWidth="1"/>
    <col min="15394" max="15394" width="16.25" style="653" customWidth="1"/>
    <col min="15395" max="15395" width="7.125" style="653" bestFit="1" customWidth="1"/>
    <col min="15396" max="15397" width="9" style="653"/>
    <col min="15398" max="15398" width="7.125" style="653" bestFit="1" customWidth="1"/>
    <col min="15399" max="15401" width="9" style="653"/>
    <col min="15402" max="15404" width="9.75" style="653" bestFit="1" customWidth="1"/>
    <col min="15405" max="15405" width="8.375" style="653" bestFit="1" customWidth="1"/>
    <col min="15406" max="15413" width="9.75" style="653" bestFit="1" customWidth="1"/>
    <col min="15414" max="15598" width="9" style="653"/>
    <col min="15599" max="15599" width="9" style="653" customWidth="1"/>
    <col min="15600" max="15600" width="7" style="653" customWidth="1"/>
    <col min="15601" max="15602" width="8" style="653" customWidth="1"/>
    <col min="15603" max="15603" width="10.125" style="653" customWidth="1"/>
    <col min="15604" max="15604" width="9.625" style="653" customWidth="1"/>
    <col min="15605" max="15605" width="11.875" style="653" customWidth="1"/>
    <col min="15606" max="15606" width="12.75" style="653" customWidth="1"/>
    <col min="15607" max="15607" width="9.25" style="653" customWidth="1"/>
    <col min="15608" max="15608" width="9.625" style="653" customWidth="1"/>
    <col min="15609" max="15609" width="7.75" style="653" customWidth="1"/>
    <col min="15610" max="15610" width="8.375" style="653" customWidth="1"/>
    <col min="15611" max="15611" width="5.875" style="653" customWidth="1"/>
    <col min="15612" max="15612" width="8.875" style="653" customWidth="1"/>
    <col min="15613" max="15613" width="9.25" style="653" customWidth="1"/>
    <col min="15614" max="15614" width="11.125" style="653" customWidth="1"/>
    <col min="15615" max="15615" width="11.875" style="653" customWidth="1"/>
    <col min="15616" max="15616" width="8.75" style="653" customWidth="1"/>
    <col min="15617" max="15617" width="10.25" style="653" customWidth="1"/>
    <col min="15618" max="15618" width="7" style="653" customWidth="1"/>
    <col min="15619" max="15619" width="8" style="653" customWidth="1"/>
    <col min="15620" max="15620" width="7.875" style="653" customWidth="1"/>
    <col min="15621" max="15621" width="11.125" style="653" customWidth="1"/>
    <col min="15622" max="15622" width="10.125" style="653" customWidth="1"/>
    <col min="15623" max="15623" width="11.875" style="653" customWidth="1"/>
    <col min="15624" max="15624" width="11.75" style="653" customWidth="1"/>
    <col min="15625" max="15625" width="9.75" style="653" customWidth="1"/>
    <col min="15626" max="15626" width="10.375" style="653" customWidth="1"/>
    <col min="15627" max="15628" width="7" style="653" customWidth="1"/>
    <col min="15629" max="15629" width="8.125" style="653" customWidth="1"/>
    <col min="15630" max="15630" width="10" style="653" customWidth="1"/>
    <col min="15631" max="15631" width="9.375" style="653" customWidth="1"/>
    <col min="15632" max="15632" width="10.375" style="653" customWidth="1"/>
    <col min="15633" max="15633" width="10.75" style="653" customWidth="1"/>
    <col min="15634" max="15634" width="9.75" style="653" customWidth="1"/>
    <col min="15635" max="15635" width="10.75" style="653" customWidth="1"/>
    <col min="15636" max="15636" width="7" style="653" customWidth="1"/>
    <col min="15637" max="15638" width="8.25" style="653" customWidth="1"/>
    <col min="15639" max="15640" width="10" style="653" customWidth="1"/>
    <col min="15641" max="15642" width="10.75" style="653" customWidth="1"/>
    <col min="15643" max="15643" width="9.75" style="653" customWidth="1"/>
    <col min="15644" max="15644" width="7" style="653" customWidth="1"/>
    <col min="15645" max="15645" width="10.25" style="653" customWidth="1"/>
    <col min="15646" max="15648" width="7" style="653" customWidth="1"/>
    <col min="15649" max="15649" width="11.75" style="653" bestFit="1" customWidth="1"/>
    <col min="15650" max="15650" width="16.25" style="653" customWidth="1"/>
    <col min="15651" max="15651" width="7.125" style="653" bestFit="1" customWidth="1"/>
    <col min="15652" max="15653" width="9" style="653"/>
    <col min="15654" max="15654" width="7.125" style="653" bestFit="1" customWidth="1"/>
    <col min="15655" max="15657" width="9" style="653"/>
    <col min="15658" max="15660" width="9.75" style="653" bestFit="1" customWidth="1"/>
    <col min="15661" max="15661" width="8.375" style="653" bestFit="1" customWidth="1"/>
    <col min="15662" max="15669" width="9.75" style="653" bestFit="1" customWidth="1"/>
    <col min="15670" max="15854" width="9" style="653"/>
    <col min="15855" max="15855" width="9" style="653" customWidth="1"/>
    <col min="15856" max="15856" width="7" style="653" customWidth="1"/>
    <col min="15857" max="15858" width="8" style="653" customWidth="1"/>
    <col min="15859" max="15859" width="10.125" style="653" customWidth="1"/>
    <col min="15860" max="15860" width="9.625" style="653" customWidth="1"/>
    <col min="15861" max="15861" width="11.875" style="653" customWidth="1"/>
    <col min="15862" max="15862" width="12.75" style="653" customWidth="1"/>
    <col min="15863" max="15863" width="9.25" style="653" customWidth="1"/>
    <col min="15864" max="15864" width="9.625" style="653" customWidth="1"/>
    <col min="15865" max="15865" width="7.75" style="653" customWidth="1"/>
    <col min="15866" max="15866" width="8.375" style="653" customWidth="1"/>
    <col min="15867" max="15867" width="5.875" style="653" customWidth="1"/>
    <col min="15868" max="15868" width="8.875" style="653" customWidth="1"/>
    <col min="15869" max="15869" width="9.25" style="653" customWidth="1"/>
    <col min="15870" max="15870" width="11.125" style="653" customWidth="1"/>
    <col min="15871" max="15871" width="11.875" style="653" customWidth="1"/>
    <col min="15872" max="15872" width="8.75" style="653" customWidth="1"/>
    <col min="15873" max="15873" width="10.25" style="653" customWidth="1"/>
    <col min="15874" max="15874" width="7" style="653" customWidth="1"/>
    <col min="15875" max="15875" width="8" style="653" customWidth="1"/>
    <col min="15876" max="15876" width="7.875" style="653" customWidth="1"/>
    <col min="15877" max="15877" width="11.125" style="653" customWidth="1"/>
    <col min="15878" max="15878" width="10.125" style="653" customWidth="1"/>
    <col min="15879" max="15879" width="11.875" style="653" customWidth="1"/>
    <col min="15880" max="15880" width="11.75" style="653" customWidth="1"/>
    <col min="15881" max="15881" width="9.75" style="653" customWidth="1"/>
    <col min="15882" max="15882" width="10.375" style="653" customWidth="1"/>
    <col min="15883" max="15884" width="7" style="653" customWidth="1"/>
    <col min="15885" max="15885" width="8.125" style="653" customWidth="1"/>
    <col min="15886" max="15886" width="10" style="653" customWidth="1"/>
    <col min="15887" max="15887" width="9.375" style="653" customWidth="1"/>
    <col min="15888" max="15888" width="10.375" style="653" customWidth="1"/>
    <col min="15889" max="15889" width="10.75" style="653" customWidth="1"/>
    <col min="15890" max="15890" width="9.75" style="653" customWidth="1"/>
    <col min="15891" max="15891" width="10.75" style="653" customWidth="1"/>
    <col min="15892" max="15892" width="7" style="653" customWidth="1"/>
    <col min="15893" max="15894" width="8.25" style="653" customWidth="1"/>
    <col min="15895" max="15896" width="10" style="653" customWidth="1"/>
    <col min="15897" max="15898" width="10.75" style="653" customWidth="1"/>
    <col min="15899" max="15899" width="9.75" style="653" customWidth="1"/>
    <col min="15900" max="15900" width="7" style="653" customWidth="1"/>
    <col min="15901" max="15901" width="10.25" style="653" customWidth="1"/>
    <col min="15902" max="15904" width="7" style="653" customWidth="1"/>
    <col min="15905" max="15905" width="11.75" style="653" bestFit="1" customWidth="1"/>
    <col min="15906" max="15906" width="16.25" style="653" customWidth="1"/>
    <col min="15907" max="15907" width="7.125" style="653" bestFit="1" customWidth="1"/>
    <col min="15908" max="15909" width="9" style="653"/>
    <col min="15910" max="15910" width="7.125" style="653" bestFit="1" customWidth="1"/>
    <col min="15911" max="15913" width="9" style="653"/>
    <col min="15914" max="15916" width="9.75" style="653" bestFit="1" customWidth="1"/>
    <col min="15917" max="15917" width="8.375" style="653" bestFit="1" customWidth="1"/>
    <col min="15918" max="15925" width="9.75" style="653" bestFit="1" customWidth="1"/>
    <col min="15926" max="16110" width="9" style="653"/>
    <col min="16111" max="16111" width="9" style="653" customWidth="1"/>
    <col min="16112" max="16112" width="7" style="653" customWidth="1"/>
    <col min="16113" max="16114" width="8" style="653" customWidth="1"/>
    <col min="16115" max="16115" width="10.125" style="653" customWidth="1"/>
    <col min="16116" max="16116" width="9.625" style="653" customWidth="1"/>
    <col min="16117" max="16117" width="11.875" style="653" customWidth="1"/>
    <col min="16118" max="16118" width="12.75" style="653" customWidth="1"/>
    <col min="16119" max="16119" width="9.25" style="653" customWidth="1"/>
    <col min="16120" max="16120" width="9.625" style="653" customWidth="1"/>
    <col min="16121" max="16121" width="7.75" style="653" customWidth="1"/>
    <col min="16122" max="16122" width="8.375" style="653" customWidth="1"/>
    <col min="16123" max="16123" width="5.875" style="653" customWidth="1"/>
    <col min="16124" max="16124" width="8.875" style="653" customWidth="1"/>
    <col min="16125" max="16125" width="9.25" style="653" customWidth="1"/>
    <col min="16126" max="16126" width="11.125" style="653" customWidth="1"/>
    <col min="16127" max="16127" width="11.875" style="653" customWidth="1"/>
    <col min="16128" max="16128" width="8.75" style="653" customWidth="1"/>
    <col min="16129" max="16129" width="10.25" style="653" customWidth="1"/>
    <col min="16130" max="16130" width="7" style="653" customWidth="1"/>
    <col min="16131" max="16131" width="8" style="653" customWidth="1"/>
    <col min="16132" max="16132" width="7.875" style="653" customWidth="1"/>
    <col min="16133" max="16133" width="11.125" style="653" customWidth="1"/>
    <col min="16134" max="16134" width="10.125" style="653" customWidth="1"/>
    <col min="16135" max="16135" width="11.875" style="653" customWidth="1"/>
    <col min="16136" max="16136" width="11.75" style="653" customWidth="1"/>
    <col min="16137" max="16137" width="9.75" style="653" customWidth="1"/>
    <col min="16138" max="16138" width="10.375" style="653" customWidth="1"/>
    <col min="16139" max="16140" width="7" style="653" customWidth="1"/>
    <col min="16141" max="16141" width="8.125" style="653" customWidth="1"/>
    <col min="16142" max="16142" width="10" style="653" customWidth="1"/>
    <col min="16143" max="16143" width="9.375" style="653" customWidth="1"/>
    <col min="16144" max="16144" width="10.375" style="653" customWidth="1"/>
    <col min="16145" max="16145" width="10.75" style="653" customWidth="1"/>
    <col min="16146" max="16146" width="9.75" style="653" customWidth="1"/>
    <col min="16147" max="16147" width="10.75" style="653" customWidth="1"/>
    <col min="16148" max="16148" width="7" style="653" customWidth="1"/>
    <col min="16149" max="16150" width="8.25" style="653" customWidth="1"/>
    <col min="16151" max="16152" width="10" style="653" customWidth="1"/>
    <col min="16153" max="16154" width="10.75" style="653" customWidth="1"/>
    <col min="16155" max="16155" width="9.75" style="653" customWidth="1"/>
    <col min="16156" max="16156" width="7" style="653" customWidth="1"/>
    <col min="16157" max="16157" width="10.25" style="653" customWidth="1"/>
    <col min="16158" max="16160" width="7" style="653" customWidth="1"/>
    <col min="16161" max="16161" width="11.75" style="653" bestFit="1" customWidth="1"/>
    <col min="16162" max="16162" width="16.25" style="653" customWidth="1"/>
    <col min="16163" max="16163" width="7.125" style="653" bestFit="1" customWidth="1"/>
    <col min="16164" max="16165" width="9" style="653"/>
    <col min="16166" max="16166" width="7.125" style="653" bestFit="1" customWidth="1"/>
    <col min="16167" max="16169" width="9" style="653"/>
    <col min="16170" max="16172" width="9.75" style="653" bestFit="1" customWidth="1"/>
    <col min="16173" max="16173" width="8.375" style="653" bestFit="1" customWidth="1"/>
    <col min="16174" max="16181" width="9.75" style="653" bestFit="1" customWidth="1"/>
    <col min="16182" max="16384" width="9" style="653"/>
  </cols>
  <sheetData>
    <row r="1" spans="1:54" s="636" customFormat="1" ht="22.5" customHeight="1" thickBot="1" x14ac:dyDescent="0.25">
      <c r="A1" s="2839" t="s">
        <v>571</v>
      </c>
      <c r="B1" s="2839"/>
      <c r="C1" s="2839"/>
      <c r="D1" s="2839"/>
      <c r="E1" s="2839"/>
      <c r="F1" s="2839"/>
      <c r="G1" s="2839"/>
      <c r="H1" s="2839"/>
      <c r="I1" s="2839"/>
      <c r="J1" s="2839" t="s">
        <v>572</v>
      </c>
      <c r="K1" s="2839"/>
      <c r="L1" s="2839"/>
      <c r="M1" s="2839"/>
      <c r="N1" s="2839"/>
      <c r="O1" s="2839"/>
      <c r="P1" s="2839"/>
      <c r="Q1" s="2839"/>
      <c r="R1" s="2839"/>
      <c r="S1" s="2839" t="s">
        <v>573</v>
      </c>
      <c r="T1" s="2839"/>
      <c r="U1" s="2839"/>
      <c r="V1" s="2839"/>
      <c r="W1" s="2839"/>
      <c r="X1" s="2839"/>
      <c r="Y1" s="2839"/>
      <c r="Z1" s="2839"/>
      <c r="AA1" s="2839"/>
    </row>
    <row r="2" spans="1:54" s="637" customFormat="1" ht="21" customHeight="1" thickBot="1" x14ac:dyDescent="0.25">
      <c r="A2" s="2829" t="s">
        <v>118</v>
      </c>
      <c r="B2" s="2831" t="s">
        <v>574</v>
      </c>
      <c r="C2" s="2840" t="s">
        <v>575</v>
      </c>
      <c r="D2" s="2841"/>
      <c r="E2" s="2835" t="s">
        <v>576</v>
      </c>
      <c r="F2" s="2836"/>
      <c r="G2" s="2835" t="s">
        <v>577</v>
      </c>
      <c r="H2" s="2836"/>
      <c r="I2" s="2825" t="s">
        <v>578</v>
      </c>
      <c r="J2" s="2829" t="s">
        <v>118</v>
      </c>
      <c r="K2" s="2831" t="s">
        <v>574</v>
      </c>
      <c r="L2" s="2835" t="s">
        <v>575</v>
      </c>
      <c r="M2" s="2836"/>
      <c r="N2" s="2835" t="s">
        <v>576</v>
      </c>
      <c r="O2" s="2836"/>
      <c r="P2" s="2835" t="s">
        <v>577</v>
      </c>
      <c r="Q2" s="2836"/>
      <c r="R2" s="2825" t="s">
        <v>578</v>
      </c>
      <c r="S2" s="2829" t="s">
        <v>118</v>
      </c>
      <c r="T2" s="2831" t="s">
        <v>574</v>
      </c>
      <c r="U2" s="2833" t="s">
        <v>575</v>
      </c>
      <c r="V2" s="2834"/>
      <c r="W2" s="2835" t="s">
        <v>576</v>
      </c>
      <c r="X2" s="2836"/>
      <c r="Y2" s="2835" t="s">
        <v>577</v>
      </c>
      <c r="Z2" s="2836"/>
      <c r="AA2" s="2825" t="s">
        <v>578</v>
      </c>
    </row>
    <row r="3" spans="1:54" s="637" customFormat="1" ht="21" customHeight="1" thickBot="1" x14ac:dyDescent="0.25">
      <c r="A3" s="2830"/>
      <c r="B3" s="2832"/>
      <c r="C3" s="638" t="s">
        <v>579</v>
      </c>
      <c r="D3" s="639" t="s">
        <v>580</v>
      </c>
      <c r="E3" s="640" t="s">
        <v>581</v>
      </c>
      <c r="F3" s="641" t="s">
        <v>582</v>
      </c>
      <c r="G3" s="642" t="s">
        <v>583</v>
      </c>
      <c r="H3" s="643" t="s">
        <v>584</v>
      </c>
      <c r="I3" s="2826"/>
      <c r="J3" s="2830"/>
      <c r="K3" s="2832"/>
      <c r="L3" s="638" t="s">
        <v>579</v>
      </c>
      <c r="M3" s="644" t="s">
        <v>580</v>
      </c>
      <c r="N3" s="642" t="s">
        <v>581</v>
      </c>
      <c r="O3" s="643" t="s">
        <v>582</v>
      </c>
      <c r="P3" s="642" t="s">
        <v>583</v>
      </c>
      <c r="Q3" s="643" t="s">
        <v>584</v>
      </c>
      <c r="R3" s="2826"/>
      <c r="S3" s="2830"/>
      <c r="T3" s="2832"/>
      <c r="U3" s="645" t="s">
        <v>579</v>
      </c>
      <c r="V3" s="643" t="s">
        <v>580</v>
      </c>
      <c r="W3" s="642" t="s">
        <v>581</v>
      </c>
      <c r="X3" s="643" t="s">
        <v>582</v>
      </c>
      <c r="Y3" s="642" t="s">
        <v>583</v>
      </c>
      <c r="Z3" s="643" t="s">
        <v>584</v>
      </c>
      <c r="AA3" s="2826"/>
    </row>
    <row r="4" spans="1:54" ht="22.5" customHeight="1" x14ac:dyDescent="0.2">
      <c r="A4" s="242" t="s">
        <v>158</v>
      </c>
      <c r="B4" s="646">
        <f>K4+T4</f>
        <v>42826</v>
      </c>
      <c r="C4" s="646">
        <f>L4+U4</f>
        <v>647382</v>
      </c>
      <c r="D4" s="646">
        <f>M4+V4</f>
        <v>351965</v>
      </c>
      <c r="E4" s="646">
        <v>0</v>
      </c>
      <c r="F4" s="646">
        <v>0</v>
      </c>
      <c r="G4" s="646">
        <v>0</v>
      </c>
      <c r="H4" s="646">
        <v>0</v>
      </c>
      <c r="I4" s="646">
        <f>R4+AA4</f>
        <v>5714002.9000000004</v>
      </c>
      <c r="J4" s="242" t="s">
        <v>158</v>
      </c>
      <c r="K4" s="646">
        <v>19224</v>
      </c>
      <c r="L4" s="647">
        <v>223734</v>
      </c>
      <c r="M4" s="648">
        <v>0</v>
      </c>
      <c r="N4" s="647">
        <v>0</v>
      </c>
      <c r="O4" s="649">
        <v>0</v>
      </c>
      <c r="P4" s="647">
        <v>0</v>
      </c>
      <c r="Q4" s="649">
        <v>0</v>
      </c>
      <c r="R4" s="646">
        <v>3411622</v>
      </c>
      <c r="S4" s="242" t="s">
        <v>158</v>
      </c>
      <c r="T4" s="646">
        <v>23602</v>
      </c>
      <c r="U4" s="647">
        <v>423648</v>
      </c>
      <c r="V4" s="649">
        <v>351965</v>
      </c>
      <c r="W4" s="647">
        <v>30171964.499999989</v>
      </c>
      <c r="X4" s="649">
        <v>51959460</v>
      </c>
      <c r="Y4" s="647">
        <v>2530711324.73</v>
      </c>
      <c r="Z4" s="649">
        <v>4326028036.9200001</v>
      </c>
      <c r="AA4" s="646">
        <v>2302380.9</v>
      </c>
      <c r="AB4" s="650"/>
      <c r="AC4" s="651"/>
      <c r="AD4" s="650"/>
      <c r="AE4" s="652"/>
      <c r="AF4" s="652"/>
      <c r="AG4" s="652"/>
      <c r="AH4" s="652"/>
      <c r="AI4" s="637"/>
      <c r="AJ4" s="652"/>
      <c r="AK4" s="652"/>
      <c r="AL4" s="650"/>
      <c r="AM4" s="650"/>
      <c r="AN4" s="650"/>
      <c r="AO4" s="650"/>
      <c r="AP4" s="650"/>
      <c r="AQ4" s="650"/>
      <c r="AR4" s="650"/>
      <c r="AT4" s="650"/>
      <c r="AU4" s="650"/>
      <c r="AV4" s="650"/>
      <c r="AW4" s="650"/>
      <c r="AX4" s="650"/>
      <c r="AY4" s="650"/>
      <c r="AZ4" s="650"/>
      <c r="BA4" s="650"/>
      <c r="BB4" s="650"/>
    </row>
    <row r="5" spans="1:54" ht="22.5" customHeight="1" x14ac:dyDescent="0.2">
      <c r="A5" s="242" t="s">
        <v>159</v>
      </c>
      <c r="B5" s="646">
        <f t="shared" ref="B5:D15" si="0">K5+T5</f>
        <v>43697</v>
      </c>
      <c r="C5" s="646">
        <f t="shared" si="0"/>
        <v>636847</v>
      </c>
      <c r="D5" s="646">
        <f t="shared" si="0"/>
        <v>340696</v>
      </c>
      <c r="E5" s="646">
        <v>0</v>
      </c>
      <c r="F5" s="646">
        <v>0</v>
      </c>
      <c r="G5" s="646">
        <v>0</v>
      </c>
      <c r="H5" s="646">
        <v>0</v>
      </c>
      <c r="I5" s="646">
        <f t="shared" ref="I5:I15" si="1">R5+AA5</f>
        <v>5734439.2999999998</v>
      </c>
      <c r="J5" s="242" t="s">
        <v>159</v>
      </c>
      <c r="K5" s="646">
        <v>19863</v>
      </c>
      <c r="L5" s="647">
        <v>223177</v>
      </c>
      <c r="M5" s="648">
        <v>0</v>
      </c>
      <c r="N5" s="647">
        <v>0</v>
      </c>
      <c r="O5" s="648">
        <v>0</v>
      </c>
      <c r="P5" s="647">
        <v>0</v>
      </c>
      <c r="Q5" s="648">
        <v>0</v>
      </c>
      <c r="R5" s="646">
        <v>3477239</v>
      </c>
      <c r="S5" s="242" t="s">
        <v>159</v>
      </c>
      <c r="T5" s="646">
        <v>23834</v>
      </c>
      <c r="U5" s="647">
        <v>413670</v>
      </c>
      <c r="V5" s="648">
        <v>340696</v>
      </c>
      <c r="W5" s="647">
        <v>27752970.000000004</v>
      </c>
      <c r="X5" s="648">
        <v>48659337.5</v>
      </c>
      <c r="Y5" s="647">
        <v>2458654610.9699993</v>
      </c>
      <c r="Z5" s="648">
        <v>4181035161.6900001</v>
      </c>
      <c r="AA5" s="646">
        <v>2257200.2999999998</v>
      </c>
      <c r="AB5" s="650"/>
      <c r="AC5" s="651"/>
      <c r="AD5" s="650"/>
      <c r="AE5" s="652"/>
      <c r="AF5" s="652"/>
      <c r="AG5" s="652"/>
      <c r="AH5" s="652"/>
      <c r="AI5" s="637"/>
      <c r="AJ5" s="652"/>
      <c r="AK5" s="652"/>
      <c r="AL5" s="650"/>
      <c r="AM5" s="650"/>
      <c r="AN5" s="650"/>
      <c r="AO5" s="650"/>
      <c r="AP5" s="650"/>
      <c r="AQ5" s="650"/>
      <c r="AR5" s="650"/>
      <c r="AT5" s="650"/>
      <c r="AU5" s="650"/>
      <c r="AV5" s="650"/>
      <c r="AW5" s="650">
        <v>32131061</v>
      </c>
      <c r="AX5" s="650">
        <v>32338546</v>
      </c>
      <c r="AY5" s="650">
        <v>29622542</v>
      </c>
      <c r="AZ5" s="650">
        <v>28973648</v>
      </c>
      <c r="BA5" s="650">
        <v>29342529</v>
      </c>
      <c r="BB5" s="650"/>
    </row>
    <row r="6" spans="1:54" ht="22.5" customHeight="1" x14ac:dyDescent="0.2">
      <c r="A6" s="242" t="s">
        <v>160</v>
      </c>
      <c r="B6" s="646">
        <f t="shared" si="0"/>
        <v>42989</v>
      </c>
      <c r="C6" s="646">
        <f t="shared" si="0"/>
        <v>614681</v>
      </c>
      <c r="D6" s="646">
        <f t="shared" si="0"/>
        <v>336103</v>
      </c>
      <c r="E6" s="646">
        <v>0</v>
      </c>
      <c r="F6" s="646">
        <v>0</v>
      </c>
      <c r="G6" s="646">
        <v>0</v>
      </c>
      <c r="H6" s="646">
        <v>0</v>
      </c>
      <c r="I6" s="646">
        <f t="shared" si="1"/>
        <v>5652764.3000000007</v>
      </c>
      <c r="J6" s="242" t="s">
        <v>160</v>
      </c>
      <c r="K6" s="646">
        <v>19829</v>
      </c>
      <c r="L6" s="647">
        <v>219804</v>
      </c>
      <c r="M6" s="648">
        <v>0</v>
      </c>
      <c r="N6" s="647">
        <v>0</v>
      </c>
      <c r="O6" s="648">
        <v>0</v>
      </c>
      <c r="P6" s="647">
        <v>0</v>
      </c>
      <c r="Q6" s="648">
        <v>0</v>
      </c>
      <c r="R6" s="646">
        <v>3454447.2</v>
      </c>
      <c r="S6" s="242" t="s">
        <v>160</v>
      </c>
      <c r="T6" s="646">
        <v>23160</v>
      </c>
      <c r="U6" s="647">
        <v>394877</v>
      </c>
      <c r="V6" s="648">
        <v>336103</v>
      </c>
      <c r="W6" s="647">
        <v>21830771.800000001</v>
      </c>
      <c r="X6" s="648">
        <v>37552658.700000003</v>
      </c>
      <c r="Y6" s="647">
        <v>2276957575.9899998</v>
      </c>
      <c r="Z6" s="648">
        <v>3935295850.0599999</v>
      </c>
      <c r="AA6" s="646">
        <v>2198317.1</v>
      </c>
      <c r="AB6" s="650"/>
      <c r="AC6" s="651"/>
      <c r="AD6" s="650"/>
      <c r="AE6" s="652"/>
      <c r="AF6" s="652"/>
      <c r="AG6" s="652"/>
      <c r="AH6" s="652"/>
      <c r="AI6" s="637"/>
      <c r="AJ6" s="652"/>
      <c r="AK6" s="652"/>
      <c r="AL6" s="650"/>
      <c r="AM6" s="650"/>
      <c r="AN6" s="650"/>
      <c r="AO6" s="650"/>
      <c r="AP6" s="650"/>
      <c r="AQ6" s="650"/>
      <c r="AR6" s="650"/>
      <c r="AS6" s="650"/>
      <c r="AT6" s="650"/>
      <c r="AU6" s="650"/>
      <c r="AV6" s="650"/>
      <c r="AW6" s="650">
        <f>+AW5/1000</f>
        <v>32131.061000000002</v>
      </c>
      <c r="AX6" s="650">
        <f>+AX5/1000</f>
        <v>32338.545999999998</v>
      </c>
      <c r="AY6" s="650">
        <f>+AY5/1000</f>
        <v>29622.542000000001</v>
      </c>
      <c r="AZ6" s="650">
        <f>+AZ5/1000</f>
        <v>28973.648000000001</v>
      </c>
      <c r="BA6" s="650">
        <f>+BA5/1000</f>
        <v>29342.528999999999</v>
      </c>
      <c r="BB6" s="650"/>
    </row>
    <row r="7" spans="1:54" ht="22.5" customHeight="1" x14ac:dyDescent="0.2">
      <c r="A7" s="242" t="s">
        <v>161</v>
      </c>
      <c r="B7" s="646">
        <f t="shared" si="0"/>
        <v>41932</v>
      </c>
      <c r="C7" s="646">
        <f t="shared" si="0"/>
        <v>605332</v>
      </c>
      <c r="D7" s="646">
        <f t="shared" si="0"/>
        <v>314296</v>
      </c>
      <c r="E7" s="646">
        <v>0</v>
      </c>
      <c r="F7" s="646">
        <v>0</v>
      </c>
      <c r="G7" s="646">
        <v>0</v>
      </c>
      <c r="H7" s="646">
        <v>0</v>
      </c>
      <c r="I7" s="646">
        <f t="shared" si="1"/>
        <v>5581124.2999999998</v>
      </c>
      <c r="J7" s="242" t="s">
        <v>161</v>
      </c>
      <c r="K7" s="646">
        <v>19599</v>
      </c>
      <c r="L7" s="647">
        <v>218931</v>
      </c>
      <c r="M7" s="648">
        <v>0</v>
      </c>
      <c r="N7" s="647">
        <v>0</v>
      </c>
      <c r="O7" s="648">
        <v>0</v>
      </c>
      <c r="P7" s="647">
        <v>0</v>
      </c>
      <c r="Q7" s="648">
        <v>0</v>
      </c>
      <c r="R7" s="646">
        <v>3433831</v>
      </c>
      <c r="S7" s="242" t="s">
        <v>161</v>
      </c>
      <c r="T7" s="646">
        <v>22333</v>
      </c>
      <c r="U7" s="647">
        <v>386401</v>
      </c>
      <c r="V7" s="648">
        <v>314296</v>
      </c>
      <c r="W7" s="647">
        <v>22076652.900000002</v>
      </c>
      <c r="X7" s="648">
        <v>38332202.000000007</v>
      </c>
      <c r="Y7" s="647">
        <v>2219799059.9400001</v>
      </c>
      <c r="Z7" s="648">
        <v>3806776348.3300009</v>
      </c>
      <c r="AA7" s="646">
        <v>2147293.2999999998</v>
      </c>
      <c r="AB7" s="650"/>
      <c r="AC7" s="651"/>
      <c r="AD7" s="650"/>
      <c r="AE7" s="652"/>
      <c r="AF7" s="652"/>
      <c r="AG7" s="652"/>
      <c r="AH7" s="652"/>
      <c r="AI7" s="637"/>
      <c r="AJ7" s="652"/>
      <c r="AK7" s="652"/>
      <c r="AL7" s="650"/>
      <c r="AM7" s="650"/>
      <c r="AN7" s="650"/>
      <c r="AO7" s="650"/>
      <c r="AP7" s="650"/>
      <c r="AQ7" s="650"/>
      <c r="AR7" s="650"/>
      <c r="AT7" s="650"/>
      <c r="AU7" s="650"/>
      <c r="AV7" s="650"/>
      <c r="AW7" s="650"/>
      <c r="AX7" s="650"/>
      <c r="AY7" s="650"/>
      <c r="AZ7" s="650"/>
      <c r="BA7" s="650"/>
      <c r="BB7" s="650"/>
    </row>
    <row r="8" spans="1:54" ht="22.5" customHeight="1" x14ac:dyDescent="0.2">
      <c r="A8" s="242" t="s">
        <v>162</v>
      </c>
      <c r="B8" s="646">
        <f t="shared" si="0"/>
        <v>41705</v>
      </c>
      <c r="C8" s="646">
        <f t="shared" si="0"/>
        <v>607588</v>
      </c>
      <c r="D8" s="646">
        <f t="shared" si="0"/>
        <v>314226</v>
      </c>
      <c r="E8" s="646">
        <v>0</v>
      </c>
      <c r="F8" s="646">
        <v>0</v>
      </c>
      <c r="G8" s="646">
        <v>0</v>
      </c>
      <c r="H8" s="646">
        <v>0</v>
      </c>
      <c r="I8" s="646">
        <f t="shared" si="1"/>
        <v>5474327.9000000004</v>
      </c>
      <c r="J8" s="242" t="s">
        <v>162</v>
      </c>
      <c r="K8" s="646">
        <v>19348</v>
      </c>
      <c r="L8" s="647">
        <v>216617</v>
      </c>
      <c r="M8" s="648">
        <v>0</v>
      </c>
      <c r="N8" s="647">
        <v>0</v>
      </c>
      <c r="O8" s="648">
        <v>0</v>
      </c>
      <c r="P8" s="647">
        <v>0</v>
      </c>
      <c r="Q8" s="648">
        <v>0</v>
      </c>
      <c r="R8" s="646">
        <v>3323990</v>
      </c>
      <c r="S8" s="242" t="s">
        <v>162</v>
      </c>
      <c r="T8" s="646">
        <v>22357</v>
      </c>
      <c r="U8" s="647">
        <v>390971</v>
      </c>
      <c r="V8" s="648">
        <v>314226</v>
      </c>
      <c r="W8" s="647">
        <v>21606594.600000001</v>
      </c>
      <c r="X8" s="648">
        <v>36858514.600000009</v>
      </c>
      <c r="Y8" s="647">
        <v>2224007843.1199999</v>
      </c>
      <c r="Z8" s="648">
        <v>3798648691.8300004</v>
      </c>
      <c r="AA8" s="646">
        <v>2150337.9</v>
      </c>
      <c r="AB8" s="650"/>
      <c r="AC8" s="651"/>
      <c r="AD8" s="650"/>
      <c r="AE8" s="652"/>
      <c r="AF8" s="652"/>
      <c r="AG8" s="652"/>
      <c r="AH8" s="652"/>
      <c r="AI8" s="637"/>
      <c r="AJ8" s="652"/>
      <c r="AK8" s="652"/>
      <c r="AL8" s="650"/>
      <c r="AM8" s="650"/>
      <c r="AN8" s="650"/>
      <c r="AO8" s="650"/>
      <c r="AP8" s="650"/>
      <c r="AQ8" s="650"/>
      <c r="AR8" s="650"/>
      <c r="AT8" s="650"/>
      <c r="AU8" s="650"/>
      <c r="AV8" s="650"/>
      <c r="AW8" s="650"/>
      <c r="AX8" s="650"/>
      <c r="AY8" s="650"/>
      <c r="AZ8" s="650"/>
      <c r="BA8" s="650"/>
      <c r="BB8" s="650"/>
    </row>
    <row r="9" spans="1:54" ht="22.5" customHeight="1" x14ac:dyDescent="0.2">
      <c r="A9" s="242" t="s">
        <v>163</v>
      </c>
      <c r="B9" s="646">
        <f t="shared" si="0"/>
        <v>35691</v>
      </c>
      <c r="C9" s="646">
        <f t="shared" si="0"/>
        <v>478101</v>
      </c>
      <c r="D9" s="646">
        <f t="shared" si="0"/>
        <v>279991</v>
      </c>
      <c r="E9" s="646">
        <v>0</v>
      </c>
      <c r="F9" s="646">
        <v>0</v>
      </c>
      <c r="G9" s="646">
        <v>0</v>
      </c>
      <c r="H9" s="646">
        <v>0</v>
      </c>
      <c r="I9" s="646">
        <f t="shared" si="1"/>
        <v>5642863.4000000004</v>
      </c>
      <c r="J9" s="242" t="s">
        <v>163</v>
      </c>
      <c r="K9" s="646">
        <v>15914</v>
      </c>
      <c r="L9" s="647">
        <v>142884</v>
      </c>
      <c r="M9" s="648">
        <v>0</v>
      </c>
      <c r="N9" s="647">
        <v>0</v>
      </c>
      <c r="O9" s="648">
        <v>0</v>
      </c>
      <c r="P9" s="647">
        <v>0</v>
      </c>
      <c r="Q9" s="648">
        <v>0</v>
      </c>
      <c r="R9" s="646">
        <v>3396179</v>
      </c>
      <c r="S9" s="242" t="s">
        <v>163</v>
      </c>
      <c r="T9" s="646">
        <v>19777</v>
      </c>
      <c r="U9" s="647">
        <v>335217</v>
      </c>
      <c r="V9" s="648">
        <v>279991</v>
      </c>
      <c r="W9" s="647">
        <v>20142301.499999996</v>
      </c>
      <c r="X9" s="648">
        <v>34623333.500000007</v>
      </c>
      <c r="Y9" s="647">
        <v>2347506537.9200006</v>
      </c>
      <c r="Z9" s="648">
        <v>4013026063.5799828</v>
      </c>
      <c r="AA9" s="646">
        <v>2246684.4</v>
      </c>
      <c r="AB9" s="650"/>
      <c r="AC9" s="651"/>
      <c r="AD9" s="650"/>
      <c r="AE9" s="652"/>
      <c r="AF9" s="652"/>
      <c r="AG9" s="652"/>
      <c r="AH9" s="652"/>
      <c r="AI9" s="637"/>
      <c r="AJ9" s="652"/>
      <c r="AK9" s="652"/>
      <c r="AL9" s="650"/>
      <c r="AM9" s="650"/>
      <c r="AN9" s="650"/>
      <c r="AO9" s="650"/>
      <c r="AP9" s="650"/>
      <c r="AQ9" s="650"/>
      <c r="AR9" s="650"/>
      <c r="AT9" s="650"/>
      <c r="AU9" s="650"/>
      <c r="AV9" s="650"/>
      <c r="AW9" s="650">
        <v>5146520118</v>
      </c>
      <c r="AX9" s="650">
        <v>5129363968</v>
      </c>
      <c r="AY9" s="650">
        <v>4966350994</v>
      </c>
      <c r="AZ9" s="650">
        <v>4826424675</v>
      </c>
      <c r="BA9" s="650">
        <v>4829215445</v>
      </c>
      <c r="BB9" s="650"/>
    </row>
    <row r="10" spans="1:54" ht="22.5" customHeight="1" x14ac:dyDescent="0.2">
      <c r="A10" s="242" t="s">
        <v>164</v>
      </c>
      <c r="B10" s="646">
        <f t="shared" si="0"/>
        <v>36049</v>
      </c>
      <c r="C10" s="646">
        <f t="shared" si="0"/>
        <v>478455</v>
      </c>
      <c r="D10" s="646">
        <f t="shared" si="0"/>
        <v>286354</v>
      </c>
      <c r="E10" s="646">
        <v>0</v>
      </c>
      <c r="F10" s="646">
        <v>0</v>
      </c>
      <c r="G10" s="646">
        <v>0</v>
      </c>
      <c r="H10" s="646">
        <v>0</v>
      </c>
      <c r="I10" s="646">
        <f t="shared" si="1"/>
        <v>5556100.2000000002</v>
      </c>
      <c r="J10" s="242" t="s">
        <v>164</v>
      </c>
      <c r="K10" s="646">
        <v>15468</v>
      </c>
      <c r="L10" s="647">
        <v>138653</v>
      </c>
      <c r="M10" s="648">
        <v>0</v>
      </c>
      <c r="N10" s="647">
        <v>0</v>
      </c>
      <c r="O10" s="648">
        <v>0</v>
      </c>
      <c r="P10" s="647">
        <v>0</v>
      </c>
      <c r="Q10" s="648">
        <v>0</v>
      </c>
      <c r="R10" s="646">
        <v>3273510</v>
      </c>
      <c r="S10" s="242" t="s">
        <v>164</v>
      </c>
      <c r="T10" s="646">
        <v>20581</v>
      </c>
      <c r="U10" s="647">
        <v>339802</v>
      </c>
      <c r="V10" s="648">
        <v>286354</v>
      </c>
      <c r="W10" s="647">
        <v>20467508.199999999</v>
      </c>
      <c r="X10" s="648">
        <v>35400428.099999994</v>
      </c>
      <c r="Y10" s="647">
        <v>2355676902.2299886</v>
      </c>
      <c r="Z10" s="648">
        <v>4057720113.470005</v>
      </c>
      <c r="AA10" s="646">
        <v>2282590.2000000002</v>
      </c>
      <c r="AB10" s="650"/>
      <c r="AC10" s="651"/>
      <c r="AD10" s="650"/>
      <c r="AE10" s="652"/>
      <c r="AF10" s="652"/>
      <c r="AG10" s="652"/>
      <c r="AH10" s="652"/>
      <c r="AI10" s="637"/>
      <c r="AJ10" s="652"/>
      <c r="AK10" s="652"/>
      <c r="AL10" s="650"/>
      <c r="AM10" s="650"/>
      <c r="AN10" s="650"/>
      <c r="AO10" s="650"/>
      <c r="AP10" s="650"/>
      <c r="AQ10" s="650"/>
      <c r="AR10" s="650"/>
      <c r="AS10" s="650"/>
      <c r="AT10" s="650"/>
      <c r="AU10" s="650"/>
      <c r="AV10" s="650"/>
      <c r="AW10" s="650">
        <f>+AW9/1000000</f>
        <v>5146.5201180000004</v>
      </c>
      <c r="AX10" s="650">
        <f>+AX9/1000000</f>
        <v>5129.3639679999997</v>
      </c>
      <c r="AY10" s="650">
        <f>+AY9/1000000</f>
        <v>4966.3509940000004</v>
      </c>
      <c r="AZ10" s="650">
        <f>+AZ9/1000000</f>
        <v>4826.4246750000002</v>
      </c>
      <c r="BA10" s="650">
        <f>+BA9/1000000</f>
        <v>4829.2154449999998</v>
      </c>
      <c r="BB10" s="650"/>
    </row>
    <row r="11" spans="1:54" ht="22.5" customHeight="1" x14ac:dyDescent="0.2">
      <c r="A11" s="242" t="s">
        <v>520</v>
      </c>
      <c r="B11" s="646">
        <f t="shared" si="0"/>
        <v>36519</v>
      </c>
      <c r="C11" s="646">
        <f t="shared" si="0"/>
        <v>483562</v>
      </c>
      <c r="D11" s="646">
        <f t="shared" si="0"/>
        <v>296859</v>
      </c>
      <c r="E11" s="646">
        <v>0</v>
      </c>
      <c r="F11" s="646">
        <v>0</v>
      </c>
      <c r="G11" s="646">
        <v>0</v>
      </c>
      <c r="H11" s="646">
        <v>0</v>
      </c>
      <c r="I11" s="646">
        <f t="shared" si="1"/>
        <v>5609773.4000000004</v>
      </c>
      <c r="J11" s="242" t="s">
        <v>520</v>
      </c>
      <c r="K11" s="646">
        <v>15512</v>
      </c>
      <c r="L11" s="647">
        <v>138074</v>
      </c>
      <c r="M11" s="648">
        <v>0</v>
      </c>
      <c r="N11" s="647">
        <v>0</v>
      </c>
      <c r="O11" s="648">
        <v>0</v>
      </c>
      <c r="P11" s="647">
        <v>0</v>
      </c>
      <c r="Q11" s="648">
        <v>0</v>
      </c>
      <c r="R11" s="646">
        <v>3289544</v>
      </c>
      <c r="S11" s="242" t="s">
        <v>520</v>
      </c>
      <c r="T11" s="646">
        <v>21007</v>
      </c>
      <c r="U11" s="647">
        <v>345488</v>
      </c>
      <c r="V11" s="648">
        <v>296859</v>
      </c>
      <c r="W11" s="647">
        <v>20460401.700000003</v>
      </c>
      <c r="X11" s="648">
        <v>35675908.099999994</v>
      </c>
      <c r="Y11" s="647">
        <v>2352297635.1599984</v>
      </c>
      <c r="Z11" s="648">
        <v>4079823281.3401499</v>
      </c>
      <c r="AA11" s="646">
        <v>2320229.4</v>
      </c>
      <c r="AB11" s="650"/>
      <c r="AC11" s="651"/>
      <c r="AD11" s="650"/>
      <c r="AE11" s="652"/>
      <c r="AF11" s="652"/>
      <c r="AG11" s="652"/>
      <c r="AH11" s="652"/>
      <c r="AI11" s="637"/>
      <c r="AJ11" s="652"/>
      <c r="AK11" s="652"/>
      <c r="AL11" s="650"/>
      <c r="AM11" s="650"/>
      <c r="AN11" s="650"/>
      <c r="AO11" s="650"/>
      <c r="AP11" s="650"/>
      <c r="AQ11" s="650"/>
      <c r="AR11" s="650"/>
      <c r="AT11" s="650"/>
      <c r="AU11" s="650"/>
      <c r="AV11" s="650"/>
      <c r="AW11" s="650"/>
      <c r="AX11" s="650"/>
      <c r="AY11" s="650"/>
      <c r="AZ11" s="650"/>
      <c r="BA11" s="650"/>
      <c r="BB11" s="650"/>
    </row>
    <row r="12" spans="1:54" ht="22.5" customHeight="1" x14ac:dyDescent="0.2">
      <c r="A12" s="242" t="s">
        <v>166</v>
      </c>
      <c r="B12" s="646">
        <f t="shared" si="0"/>
        <v>35959</v>
      </c>
      <c r="C12" s="646">
        <f t="shared" si="0"/>
        <v>483394</v>
      </c>
      <c r="D12" s="646">
        <f t="shared" si="0"/>
        <v>281706</v>
      </c>
      <c r="E12" s="646">
        <v>0</v>
      </c>
      <c r="F12" s="646">
        <v>0</v>
      </c>
      <c r="G12" s="646">
        <v>0</v>
      </c>
      <c r="H12" s="646">
        <v>0</v>
      </c>
      <c r="I12" s="646">
        <f t="shared" si="1"/>
        <v>5554602</v>
      </c>
      <c r="J12" s="242" t="s">
        <v>166</v>
      </c>
      <c r="K12" s="646">
        <v>15670</v>
      </c>
      <c r="L12" s="647">
        <v>137423</v>
      </c>
      <c r="M12" s="648">
        <v>0</v>
      </c>
      <c r="N12" s="647">
        <v>0</v>
      </c>
      <c r="O12" s="648">
        <v>0</v>
      </c>
      <c r="P12" s="647">
        <v>0</v>
      </c>
      <c r="Q12" s="648">
        <v>0</v>
      </c>
      <c r="R12" s="646">
        <v>3287959</v>
      </c>
      <c r="S12" s="242" t="s">
        <v>166</v>
      </c>
      <c r="T12" s="646">
        <v>20289</v>
      </c>
      <c r="U12" s="647">
        <v>345971</v>
      </c>
      <c r="V12" s="648">
        <v>281706</v>
      </c>
      <c r="W12" s="647">
        <v>20297227.199999999</v>
      </c>
      <c r="X12" s="648">
        <v>35146601.099999994</v>
      </c>
      <c r="Y12" s="647">
        <v>2378931004.1799965</v>
      </c>
      <c r="Z12" s="648">
        <v>4088110714.9800086</v>
      </c>
      <c r="AA12" s="646">
        <v>2266643</v>
      </c>
      <c r="AB12" s="650"/>
      <c r="AC12" s="651"/>
      <c r="AD12" s="650"/>
      <c r="AE12" s="652"/>
      <c r="AF12" s="652"/>
      <c r="AG12" s="652"/>
      <c r="AH12" s="652"/>
      <c r="AI12" s="637"/>
      <c r="AJ12" s="652"/>
      <c r="AK12" s="652"/>
      <c r="AL12" s="650"/>
      <c r="AM12" s="650"/>
      <c r="AN12" s="650"/>
      <c r="AO12" s="650"/>
      <c r="AP12" s="650"/>
      <c r="AQ12" s="650"/>
      <c r="AR12" s="650"/>
      <c r="AT12" s="650"/>
      <c r="AU12" s="650"/>
      <c r="AV12" s="650"/>
      <c r="AW12" s="650"/>
      <c r="AX12" s="650"/>
      <c r="AY12" s="650"/>
      <c r="AZ12" s="650"/>
      <c r="BA12" s="650"/>
      <c r="BB12" s="650"/>
    </row>
    <row r="13" spans="1:54" ht="22.5" customHeight="1" x14ac:dyDescent="0.2">
      <c r="A13" s="242" t="s">
        <v>521</v>
      </c>
      <c r="B13" s="646">
        <f t="shared" si="0"/>
        <v>36359</v>
      </c>
      <c r="C13" s="646">
        <f t="shared" si="0"/>
        <v>483162</v>
      </c>
      <c r="D13" s="646">
        <f t="shared" si="0"/>
        <v>289795</v>
      </c>
      <c r="E13" s="646">
        <v>0</v>
      </c>
      <c r="F13" s="646">
        <v>0</v>
      </c>
      <c r="G13" s="646">
        <v>0</v>
      </c>
      <c r="H13" s="646">
        <v>0</v>
      </c>
      <c r="I13" s="646">
        <f t="shared" si="1"/>
        <v>5651721.2000000002</v>
      </c>
      <c r="J13" s="242" t="s">
        <v>521</v>
      </c>
      <c r="K13" s="646">
        <v>15732</v>
      </c>
      <c r="L13" s="647">
        <v>134516</v>
      </c>
      <c r="M13" s="648">
        <v>0</v>
      </c>
      <c r="N13" s="647">
        <v>0</v>
      </c>
      <c r="O13" s="648">
        <v>0</v>
      </c>
      <c r="P13" s="647">
        <v>0</v>
      </c>
      <c r="Q13" s="648">
        <v>0</v>
      </c>
      <c r="R13" s="646">
        <v>3320716</v>
      </c>
      <c r="S13" s="242" t="s">
        <v>521</v>
      </c>
      <c r="T13" s="646">
        <v>20627</v>
      </c>
      <c r="U13" s="647">
        <v>348646</v>
      </c>
      <c r="V13" s="648">
        <v>289795</v>
      </c>
      <c r="W13" s="647">
        <v>20328095.899999995</v>
      </c>
      <c r="X13" s="648">
        <v>35371054.299999997</v>
      </c>
      <c r="Y13" s="647">
        <v>2410651495.6399989</v>
      </c>
      <c r="Z13" s="648">
        <v>4153703762.4900012</v>
      </c>
      <c r="AA13" s="646">
        <v>2331005.2000000002</v>
      </c>
      <c r="AB13" s="650"/>
      <c r="AC13" s="651"/>
      <c r="AE13" s="652"/>
      <c r="AF13" s="652"/>
      <c r="AG13" s="652"/>
      <c r="AH13" s="652"/>
      <c r="AI13" s="637"/>
      <c r="AJ13" s="652"/>
      <c r="AK13" s="652"/>
      <c r="AL13" s="650"/>
      <c r="AM13" s="650"/>
      <c r="AN13" s="650"/>
      <c r="AO13" s="650"/>
      <c r="AP13" s="650"/>
      <c r="AQ13" s="650"/>
      <c r="AR13" s="650"/>
      <c r="AT13" s="650"/>
      <c r="AU13" s="650"/>
      <c r="AV13" s="650"/>
      <c r="AW13" s="650"/>
      <c r="AX13" s="650"/>
      <c r="AY13" s="650"/>
      <c r="AZ13" s="650"/>
      <c r="BA13" s="650"/>
      <c r="BB13" s="650"/>
    </row>
    <row r="14" spans="1:54" ht="22.5" customHeight="1" x14ac:dyDescent="0.2">
      <c r="A14" s="242" t="s">
        <v>168</v>
      </c>
      <c r="B14" s="646">
        <f t="shared" si="0"/>
        <v>36880.692307692305</v>
      </c>
      <c r="C14" s="646">
        <f t="shared" si="0"/>
        <v>492573.30769230763</v>
      </c>
      <c r="D14" s="646">
        <f t="shared" si="0"/>
        <v>293414.69230769231</v>
      </c>
      <c r="E14" s="646">
        <v>0</v>
      </c>
      <c r="F14" s="646">
        <v>0</v>
      </c>
      <c r="G14" s="646">
        <v>0</v>
      </c>
      <c r="H14" s="646">
        <v>0</v>
      </c>
      <c r="I14" s="646">
        <f t="shared" si="1"/>
        <v>5778233.692307692</v>
      </c>
      <c r="J14" s="242" t="s">
        <v>168</v>
      </c>
      <c r="K14" s="646">
        <v>16207.230769230771</v>
      </c>
      <c r="L14" s="647">
        <v>140554.46153846153</v>
      </c>
      <c r="M14" s="648">
        <v>0</v>
      </c>
      <c r="N14" s="647">
        <v>0</v>
      </c>
      <c r="O14" s="648">
        <v>0</v>
      </c>
      <c r="P14" s="647">
        <v>0</v>
      </c>
      <c r="Q14" s="648">
        <v>0</v>
      </c>
      <c r="R14" s="646">
        <v>3440250.0769230761</v>
      </c>
      <c r="S14" s="242" t="s">
        <v>168</v>
      </c>
      <c r="T14" s="646">
        <v>20673.461538461532</v>
      </c>
      <c r="U14" s="647">
        <v>352018.84615384607</v>
      </c>
      <c r="V14" s="648">
        <v>293414.69230769231</v>
      </c>
      <c r="W14" s="647">
        <v>21189841.46153846</v>
      </c>
      <c r="X14" s="648">
        <v>36442318.653846152</v>
      </c>
      <c r="Y14" s="647">
        <v>2510353590.346149</v>
      </c>
      <c r="Z14" s="648">
        <v>4300919511.5384693</v>
      </c>
      <c r="AA14" s="646">
        <v>2337983.615384616</v>
      </c>
      <c r="AB14" s="650"/>
      <c r="AC14" s="651"/>
      <c r="AE14" s="652"/>
      <c r="AF14" s="652"/>
      <c r="AG14" s="652"/>
      <c r="AH14" s="652"/>
      <c r="AI14" s="637"/>
      <c r="AJ14" s="652"/>
      <c r="AK14" s="652"/>
      <c r="AL14" s="650"/>
      <c r="AM14" s="650"/>
      <c r="AN14" s="650"/>
      <c r="AO14" s="650"/>
      <c r="AP14" s="650"/>
      <c r="AQ14" s="650"/>
      <c r="AR14" s="650"/>
      <c r="AT14" s="650"/>
      <c r="AU14" s="650"/>
      <c r="AV14" s="650"/>
      <c r="AW14" s="650"/>
      <c r="AX14" s="650"/>
      <c r="AY14" s="650"/>
      <c r="AZ14" s="650"/>
      <c r="BA14" s="650"/>
      <c r="BB14" s="650"/>
    </row>
    <row r="15" spans="1:54" ht="22.5" customHeight="1" thickBot="1" x14ac:dyDescent="0.25">
      <c r="A15" s="242" t="s">
        <v>169</v>
      </c>
      <c r="B15" s="646">
        <f t="shared" si="0"/>
        <v>35624</v>
      </c>
      <c r="C15" s="532">
        <f t="shared" si="0"/>
        <v>473407</v>
      </c>
      <c r="D15" s="532">
        <f t="shared" si="0"/>
        <v>303768</v>
      </c>
      <c r="E15" s="646">
        <v>0</v>
      </c>
      <c r="F15" s="646">
        <v>0</v>
      </c>
      <c r="G15" s="646">
        <v>0</v>
      </c>
      <c r="H15" s="646">
        <v>0</v>
      </c>
      <c r="I15" s="646">
        <f t="shared" si="1"/>
        <v>5839005</v>
      </c>
      <c r="J15" s="242" t="s">
        <v>169</v>
      </c>
      <c r="K15" s="646">
        <v>15694</v>
      </c>
      <c r="L15" s="654">
        <v>136493</v>
      </c>
      <c r="M15" s="109">
        <v>0</v>
      </c>
      <c r="N15" s="647">
        <v>0</v>
      </c>
      <c r="O15" s="109">
        <v>0</v>
      </c>
      <c r="P15" s="647">
        <v>0</v>
      </c>
      <c r="Q15" s="109">
        <v>0</v>
      </c>
      <c r="R15" s="646">
        <v>3483929</v>
      </c>
      <c r="S15" s="242" t="s">
        <v>169</v>
      </c>
      <c r="T15" s="646">
        <v>19930</v>
      </c>
      <c r="U15" s="647">
        <v>336914</v>
      </c>
      <c r="V15" s="109">
        <v>303768</v>
      </c>
      <c r="W15" s="647">
        <v>19865357.799999997</v>
      </c>
      <c r="X15" s="648">
        <v>34901974.899999999</v>
      </c>
      <c r="Y15" s="647">
        <v>2396880036.4499989</v>
      </c>
      <c r="Z15" s="109">
        <v>4164439653.6000051</v>
      </c>
      <c r="AA15" s="646">
        <v>2355076</v>
      </c>
      <c r="AB15" s="650"/>
      <c r="AC15" s="651"/>
      <c r="AE15" s="652"/>
      <c r="AF15" s="652"/>
      <c r="AG15" s="652"/>
      <c r="AH15" s="652"/>
      <c r="AI15" s="637"/>
      <c r="AJ15" s="652"/>
      <c r="AK15" s="652"/>
      <c r="AL15" s="650"/>
      <c r="AM15" s="650"/>
      <c r="AN15" s="650"/>
      <c r="AO15" s="650"/>
      <c r="AP15" s="650"/>
      <c r="AQ15" s="650"/>
      <c r="AR15" s="650"/>
      <c r="AT15" s="650"/>
      <c r="AU15" s="650"/>
      <c r="AV15" s="650"/>
      <c r="AW15" s="650"/>
      <c r="AX15" s="650"/>
      <c r="AY15" s="650"/>
      <c r="AZ15" s="650"/>
      <c r="BA15" s="650"/>
      <c r="BB15" s="650"/>
    </row>
    <row r="16" spans="1:54" ht="18" customHeight="1" thickBot="1" x14ac:dyDescent="0.25">
      <c r="A16" s="232" t="s">
        <v>170</v>
      </c>
      <c r="B16" s="510">
        <f t="shared" ref="B16:I16" si="2">SUM(B4:B15)</f>
        <v>466230.69230769231</v>
      </c>
      <c r="C16" s="655">
        <f t="shared" si="2"/>
        <v>6484484.307692308</v>
      </c>
      <c r="D16" s="510">
        <f t="shared" si="2"/>
        <v>3689173.6923076925</v>
      </c>
      <c r="E16" s="656">
        <f t="shared" si="2"/>
        <v>0</v>
      </c>
      <c r="F16" s="657">
        <f t="shared" si="2"/>
        <v>0</v>
      </c>
      <c r="G16" s="655">
        <f t="shared" si="2"/>
        <v>0</v>
      </c>
      <c r="H16" s="658">
        <f t="shared" si="2"/>
        <v>0</v>
      </c>
      <c r="I16" s="510">
        <f t="shared" si="2"/>
        <v>67788957.592307702</v>
      </c>
      <c r="J16" s="232" t="s">
        <v>170</v>
      </c>
      <c r="K16" s="510">
        <f t="shared" ref="K16:R16" si="3">SUM(K4:K15)</f>
        <v>208060.23076923078</v>
      </c>
      <c r="L16" s="655">
        <f>SUM(L4:L15)</f>
        <v>2070860.4615384615</v>
      </c>
      <c r="M16" s="658">
        <f t="shared" si="3"/>
        <v>0</v>
      </c>
      <c r="N16" s="655">
        <f t="shared" si="3"/>
        <v>0</v>
      </c>
      <c r="O16" s="658">
        <f t="shared" si="3"/>
        <v>0</v>
      </c>
      <c r="P16" s="655">
        <f t="shared" si="3"/>
        <v>0</v>
      </c>
      <c r="Q16" s="658">
        <f t="shared" si="3"/>
        <v>0</v>
      </c>
      <c r="R16" s="510">
        <f t="shared" si="3"/>
        <v>40593216.276923075</v>
      </c>
      <c r="S16" s="232" t="s">
        <v>170</v>
      </c>
      <c r="T16" s="510">
        <f t="shared" ref="T16:AA16" si="4">SUM(T4:T15)</f>
        <v>258170.46153846153</v>
      </c>
      <c r="U16" s="655">
        <f t="shared" si="4"/>
        <v>4413623.846153846</v>
      </c>
      <c r="V16" s="658">
        <f t="shared" si="4"/>
        <v>3689173.6923076925</v>
      </c>
      <c r="W16" s="655">
        <f t="shared" si="4"/>
        <v>266189687.56153846</v>
      </c>
      <c r="X16" s="658">
        <f t="shared" si="4"/>
        <v>460923791.45384616</v>
      </c>
      <c r="Y16" s="655">
        <f t="shared" si="4"/>
        <v>28462427616.676132</v>
      </c>
      <c r="Z16" s="658">
        <f t="shared" si="4"/>
        <v>48905527189.828621</v>
      </c>
      <c r="AA16" s="510">
        <f t="shared" si="4"/>
        <v>27195741.315384611</v>
      </c>
      <c r="AB16" s="650"/>
      <c r="AD16" s="650"/>
      <c r="AF16" s="659"/>
      <c r="AG16" s="650"/>
      <c r="AH16" s="650"/>
      <c r="AK16" s="650"/>
      <c r="AL16" s="650"/>
      <c r="AM16" s="650"/>
      <c r="AN16" s="650"/>
      <c r="AO16" s="650"/>
      <c r="AP16" s="650"/>
      <c r="AQ16" s="650"/>
      <c r="AR16" s="650"/>
      <c r="AT16" s="650"/>
      <c r="AU16" s="650"/>
      <c r="AV16" s="650"/>
      <c r="AW16" s="650"/>
      <c r="AX16" s="650"/>
      <c r="AY16" s="650"/>
      <c r="AZ16" s="650"/>
      <c r="BA16" s="650"/>
      <c r="BB16" s="650"/>
    </row>
    <row r="17" spans="1:56" ht="6.75" customHeight="1" x14ac:dyDescent="0.2">
      <c r="R17" s="650"/>
      <c r="AB17" s="650"/>
    </row>
    <row r="18" spans="1:56" ht="15.75" hidden="1" customHeight="1" x14ac:dyDescent="0.2">
      <c r="AB18" s="650"/>
    </row>
    <row r="19" spans="1:56" ht="15.75" hidden="1" customHeight="1" x14ac:dyDescent="0.2">
      <c r="AB19" s="650"/>
    </row>
    <row r="20" spans="1:56" s="636" customFormat="1" ht="22.5" customHeight="1" thickBot="1" x14ac:dyDescent="0.25">
      <c r="A20" s="2839" t="s">
        <v>585</v>
      </c>
      <c r="B20" s="2839"/>
      <c r="C20" s="2839"/>
      <c r="D20" s="2839"/>
      <c r="E20" s="2839"/>
      <c r="F20" s="2839"/>
      <c r="G20" s="2839"/>
      <c r="H20" s="2839"/>
      <c r="I20" s="2839"/>
      <c r="J20" s="2839" t="s">
        <v>586</v>
      </c>
      <c r="K20" s="2839"/>
      <c r="L20" s="2839"/>
      <c r="M20" s="2839"/>
      <c r="N20" s="2839"/>
      <c r="O20" s="2839"/>
      <c r="P20" s="2839"/>
      <c r="Q20" s="2839"/>
      <c r="R20" s="2839"/>
      <c r="S20" s="2839" t="s">
        <v>587</v>
      </c>
      <c r="T20" s="2839"/>
      <c r="U20" s="2839"/>
      <c r="V20" s="2839"/>
      <c r="W20" s="2839"/>
      <c r="X20" s="2839"/>
      <c r="Y20" s="2839"/>
      <c r="Z20" s="2839"/>
      <c r="AA20" s="2839"/>
      <c r="AB20" s="650"/>
    </row>
    <row r="21" spans="1:56" s="637" customFormat="1" ht="17.25" customHeight="1" thickBot="1" x14ac:dyDescent="0.25">
      <c r="A21" s="2829" t="s">
        <v>118</v>
      </c>
      <c r="B21" s="2831" t="s">
        <v>574</v>
      </c>
      <c r="C21" s="2840" t="s">
        <v>575</v>
      </c>
      <c r="D21" s="2841"/>
      <c r="E21" s="2835" t="s">
        <v>576</v>
      </c>
      <c r="F21" s="2836"/>
      <c r="G21" s="2835" t="s">
        <v>577</v>
      </c>
      <c r="H21" s="2836"/>
      <c r="I21" s="2837" t="s">
        <v>578</v>
      </c>
      <c r="J21" s="2829" t="s">
        <v>118</v>
      </c>
      <c r="K21" s="2831" t="s">
        <v>574</v>
      </c>
      <c r="L21" s="2835" t="s">
        <v>575</v>
      </c>
      <c r="M21" s="2836"/>
      <c r="N21" s="2835" t="s">
        <v>576</v>
      </c>
      <c r="O21" s="2836"/>
      <c r="P21" s="2835" t="s">
        <v>577</v>
      </c>
      <c r="Q21" s="2836"/>
      <c r="R21" s="2825" t="s">
        <v>578</v>
      </c>
      <c r="S21" s="2829" t="s">
        <v>118</v>
      </c>
      <c r="T21" s="2831" t="s">
        <v>574</v>
      </c>
      <c r="U21" s="2833" t="s">
        <v>575</v>
      </c>
      <c r="V21" s="2834"/>
      <c r="W21" s="2835" t="s">
        <v>576</v>
      </c>
      <c r="X21" s="2836"/>
      <c r="Y21" s="2835" t="s">
        <v>577</v>
      </c>
      <c r="Z21" s="2836"/>
      <c r="AA21" s="2825" t="s">
        <v>578</v>
      </c>
      <c r="AB21" s="650"/>
    </row>
    <row r="22" spans="1:56" s="637" customFormat="1" ht="16.5" customHeight="1" thickBot="1" x14ac:dyDescent="0.25">
      <c r="A22" s="2830"/>
      <c r="B22" s="2832"/>
      <c r="C22" s="660" t="s">
        <v>579</v>
      </c>
      <c r="D22" s="661" t="s">
        <v>580</v>
      </c>
      <c r="E22" s="642" t="s">
        <v>581</v>
      </c>
      <c r="F22" s="643" t="s">
        <v>582</v>
      </c>
      <c r="G22" s="642" t="s">
        <v>583</v>
      </c>
      <c r="H22" s="643" t="s">
        <v>584</v>
      </c>
      <c r="I22" s="2838"/>
      <c r="J22" s="2830"/>
      <c r="K22" s="2832"/>
      <c r="L22" s="660" t="s">
        <v>579</v>
      </c>
      <c r="M22" s="644" t="s">
        <v>580</v>
      </c>
      <c r="N22" s="642" t="s">
        <v>581</v>
      </c>
      <c r="O22" s="643" t="s">
        <v>582</v>
      </c>
      <c r="P22" s="642" t="s">
        <v>583</v>
      </c>
      <c r="Q22" s="643" t="s">
        <v>584</v>
      </c>
      <c r="R22" s="2826"/>
      <c r="S22" s="2830"/>
      <c r="T22" s="2832"/>
      <c r="U22" s="645" t="s">
        <v>579</v>
      </c>
      <c r="V22" s="643" t="s">
        <v>580</v>
      </c>
      <c r="W22" s="642" t="s">
        <v>581</v>
      </c>
      <c r="X22" s="643" t="s">
        <v>582</v>
      </c>
      <c r="Y22" s="642" t="s">
        <v>583</v>
      </c>
      <c r="Z22" s="643" t="s">
        <v>584</v>
      </c>
      <c r="AA22" s="2826"/>
      <c r="AB22" s="650"/>
    </row>
    <row r="23" spans="1:56" ht="17.25" customHeight="1" x14ac:dyDescent="0.2">
      <c r="A23" s="242" t="s">
        <v>201</v>
      </c>
      <c r="B23" s="646">
        <f>K23+T23</f>
        <v>16178</v>
      </c>
      <c r="C23" s="647">
        <f>L23+U23</f>
        <v>174552.53846153844</v>
      </c>
      <c r="D23" s="649">
        <f>M23+V23</f>
        <v>39280.153846153844</v>
      </c>
      <c r="E23" s="647">
        <v>0</v>
      </c>
      <c r="F23" s="649">
        <v>0</v>
      </c>
      <c r="G23" s="647">
        <v>0</v>
      </c>
      <c r="H23" s="649">
        <v>0</v>
      </c>
      <c r="I23" s="646">
        <f>R23+AA23</f>
        <v>2156347.307692308</v>
      </c>
      <c r="J23" s="242" t="s">
        <v>201</v>
      </c>
      <c r="K23" s="646">
        <v>4914.5384615384619</v>
      </c>
      <c r="L23" s="647">
        <v>38699.923076923078</v>
      </c>
      <c r="M23" s="648">
        <v>0</v>
      </c>
      <c r="N23" s="647">
        <v>0</v>
      </c>
      <c r="O23" s="649">
        <v>0</v>
      </c>
      <c r="P23" s="647">
        <v>0</v>
      </c>
      <c r="Q23" s="649">
        <v>0</v>
      </c>
      <c r="R23" s="646">
        <v>905600.76923076925</v>
      </c>
      <c r="S23" s="242" t="s">
        <v>201</v>
      </c>
      <c r="T23" s="646">
        <v>11263.461538461539</v>
      </c>
      <c r="U23" s="647">
        <v>135852.61538461538</v>
      </c>
      <c r="V23" s="649">
        <v>39280.153846153844</v>
      </c>
      <c r="W23" s="647">
        <v>4696016.5923076924</v>
      </c>
      <c r="X23" s="649">
        <v>8550089.538461538</v>
      </c>
      <c r="Y23" s="647">
        <v>566856551.21538484</v>
      </c>
      <c r="Z23" s="649">
        <v>1024394986.9307699</v>
      </c>
      <c r="AA23" s="646">
        <v>1250746.5384615385</v>
      </c>
      <c r="AB23" s="650"/>
      <c r="AG23" s="662"/>
      <c r="AI23" s="663"/>
    </row>
    <row r="24" spans="1:56" ht="17.25" customHeight="1" x14ac:dyDescent="0.2">
      <c r="A24" s="242" t="s">
        <v>198</v>
      </c>
      <c r="B24" s="646">
        <f t="shared" ref="B24:D43" si="5">K24+T24</f>
        <v>15576.692307692309</v>
      </c>
      <c r="C24" s="647">
        <f t="shared" si="5"/>
        <v>202447.92307692306</v>
      </c>
      <c r="D24" s="648">
        <f t="shared" si="5"/>
        <v>133624</v>
      </c>
      <c r="E24" s="647">
        <v>0</v>
      </c>
      <c r="F24" s="648">
        <v>0</v>
      </c>
      <c r="G24" s="647">
        <v>0</v>
      </c>
      <c r="H24" s="648">
        <v>0</v>
      </c>
      <c r="I24" s="646">
        <f t="shared" ref="I24:I43" si="6">R24+AA24</f>
        <v>1859328.5</v>
      </c>
      <c r="J24" s="242" t="s">
        <v>198</v>
      </c>
      <c r="K24" s="646">
        <v>5104</v>
      </c>
      <c r="L24" s="647">
        <v>54055</v>
      </c>
      <c r="M24" s="648">
        <v>0</v>
      </c>
      <c r="N24" s="647">
        <v>0</v>
      </c>
      <c r="O24" s="648">
        <v>0</v>
      </c>
      <c r="P24" s="647">
        <v>0</v>
      </c>
      <c r="Q24" s="648">
        <v>0</v>
      </c>
      <c r="R24" s="646">
        <v>728637</v>
      </c>
      <c r="S24" s="242" t="s">
        <v>198</v>
      </c>
      <c r="T24" s="646">
        <v>10472.692307692309</v>
      </c>
      <c r="U24" s="647">
        <v>148392.92307692306</v>
      </c>
      <c r="V24" s="648">
        <v>133624</v>
      </c>
      <c r="W24" s="647">
        <v>8396308.8000000007</v>
      </c>
      <c r="X24" s="648">
        <v>14721597.1</v>
      </c>
      <c r="Y24" s="647">
        <v>935989449.59999979</v>
      </c>
      <c r="Z24" s="648">
        <v>1632364020.9000001</v>
      </c>
      <c r="AA24" s="646">
        <v>1130691.5</v>
      </c>
      <c r="AB24" s="664"/>
      <c r="AC24" s="650"/>
      <c r="AG24" s="662"/>
      <c r="AI24" s="637"/>
    </row>
    <row r="25" spans="1:56" ht="17.25" customHeight="1" x14ac:dyDescent="0.2">
      <c r="A25" s="242" t="s">
        <v>97</v>
      </c>
      <c r="B25" s="646">
        <f t="shared" si="5"/>
        <v>40562</v>
      </c>
      <c r="C25" s="647">
        <f t="shared" si="5"/>
        <v>590542.15384615387</v>
      </c>
      <c r="D25" s="648">
        <f t="shared" si="5"/>
        <v>372367.84615384613</v>
      </c>
      <c r="E25" s="647">
        <v>0</v>
      </c>
      <c r="F25" s="648">
        <v>0</v>
      </c>
      <c r="G25" s="647">
        <v>0</v>
      </c>
      <c r="H25" s="648">
        <v>0</v>
      </c>
      <c r="I25" s="646">
        <f t="shared" si="6"/>
        <v>4387087</v>
      </c>
      <c r="J25" s="242" t="s">
        <v>97</v>
      </c>
      <c r="K25" s="646">
        <v>7107.8461538461543</v>
      </c>
      <c r="L25" s="647">
        <v>90845.38461538461</v>
      </c>
      <c r="M25" s="648">
        <v>0</v>
      </c>
      <c r="N25" s="647">
        <v>0</v>
      </c>
      <c r="O25" s="648">
        <v>0</v>
      </c>
      <c r="P25" s="647">
        <v>0</v>
      </c>
      <c r="Q25" s="648">
        <v>0</v>
      </c>
      <c r="R25" s="646">
        <v>1366518.6923076923</v>
      </c>
      <c r="S25" s="242" t="s">
        <v>97</v>
      </c>
      <c r="T25" s="646">
        <v>33454.153846153844</v>
      </c>
      <c r="U25" s="647">
        <v>499696.76923076925</v>
      </c>
      <c r="V25" s="648">
        <v>372367.84615384613</v>
      </c>
      <c r="W25" s="647">
        <v>34675141.315384611</v>
      </c>
      <c r="X25" s="648">
        <v>57376465.246153846</v>
      </c>
      <c r="Y25" s="647">
        <v>3613153743.6614847</v>
      </c>
      <c r="Z25" s="648">
        <v>6115137816.661665</v>
      </c>
      <c r="AA25" s="646">
        <v>3020568.3076923075</v>
      </c>
      <c r="AB25" s="650"/>
      <c r="AG25" s="662"/>
      <c r="AI25" s="637"/>
    </row>
    <row r="26" spans="1:56" ht="17.25" customHeight="1" x14ac:dyDescent="0.2">
      <c r="A26" s="242" t="s">
        <v>102</v>
      </c>
      <c r="B26" s="646">
        <f t="shared" si="5"/>
        <v>79765.846153846156</v>
      </c>
      <c r="C26" s="647">
        <f t="shared" si="5"/>
        <v>977288</v>
      </c>
      <c r="D26" s="648">
        <f t="shared" si="5"/>
        <v>298678.23076923075</v>
      </c>
      <c r="E26" s="647">
        <v>0</v>
      </c>
      <c r="F26" s="648">
        <v>0</v>
      </c>
      <c r="G26" s="647">
        <v>0</v>
      </c>
      <c r="H26" s="648">
        <v>0</v>
      </c>
      <c r="I26" s="646">
        <f t="shared" si="6"/>
        <v>6484553.5230769236</v>
      </c>
      <c r="J26" s="242" t="s">
        <v>102</v>
      </c>
      <c r="K26" s="646">
        <v>61823.615384615383</v>
      </c>
      <c r="L26" s="647">
        <v>601803.76923076925</v>
      </c>
      <c r="M26" s="648">
        <v>0</v>
      </c>
      <c r="N26" s="647">
        <v>0</v>
      </c>
      <c r="O26" s="648">
        <v>0</v>
      </c>
      <c r="P26" s="647">
        <v>0</v>
      </c>
      <c r="Q26" s="648">
        <v>0</v>
      </c>
      <c r="R26" s="646">
        <v>5510761</v>
      </c>
      <c r="S26" s="242" t="s">
        <v>102</v>
      </c>
      <c r="T26" s="646">
        <v>17942.23076923077</v>
      </c>
      <c r="U26" s="647">
        <v>375484.23076923075</v>
      </c>
      <c r="V26" s="648">
        <v>298678.23076923075</v>
      </c>
      <c r="W26" s="647">
        <v>19193396.315384615</v>
      </c>
      <c r="X26" s="648">
        <v>34471790.899999999</v>
      </c>
      <c r="Y26" s="647">
        <v>919316100.54230571</v>
      </c>
      <c r="Z26" s="648">
        <v>1646094652.8884635</v>
      </c>
      <c r="AA26" s="646">
        <v>973792.5230769231</v>
      </c>
      <c r="AB26" s="650"/>
      <c r="AG26" s="662"/>
      <c r="AI26" s="637"/>
    </row>
    <row r="27" spans="1:56" ht="17.25" customHeight="1" x14ac:dyDescent="0.2">
      <c r="A27" s="242" t="s">
        <v>107</v>
      </c>
      <c r="B27" s="646">
        <f t="shared" si="5"/>
        <v>15915.384615384617</v>
      </c>
      <c r="C27" s="647">
        <f t="shared" si="5"/>
        <v>197221.69230769231</v>
      </c>
      <c r="D27" s="648">
        <f t="shared" si="5"/>
        <v>155628.30769230769</v>
      </c>
      <c r="E27" s="647">
        <v>0</v>
      </c>
      <c r="F27" s="648">
        <v>0</v>
      </c>
      <c r="G27" s="647">
        <v>0</v>
      </c>
      <c r="H27" s="648">
        <v>0</v>
      </c>
      <c r="I27" s="646">
        <f t="shared" si="6"/>
        <v>1529441</v>
      </c>
      <c r="J27" s="242" t="s">
        <v>107</v>
      </c>
      <c r="K27" s="646">
        <v>7156.5384615384619</v>
      </c>
      <c r="L27" s="647">
        <v>45191.153846153844</v>
      </c>
      <c r="M27" s="648">
        <v>0</v>
      </c>
      <c r="N27" s="647">
        <v>0</v>
      </c>
      <c r="O27" s="648">
        <v>0</v>
      </c>
      <c r="P27" s="647">
        <v>0</v>
      </c>
      <c r="Q27" s="648">
        <v>0</v>
      </c>
      <c r="R27" s="646">
        <v>792480.38461538462</v>
      </c>
      <c r="S27" s="242" t="s">
        <v>107</v>
      </c>
      <c r="T27" s="646">
        <v>8758.8461538461543</v>
      </c>
      <c r="U27" s="647">
        <v>152030.53846153847</v>
      </c>
      <c r="V27" s="648">
        <v>155628.30769230769</v>
      </c>
      <c r="W27" s="647">
        <v>9480982.8076923061</v>
      </c>
      <c r="X27" s="648">
        <v>16682029.892307693</v>
      </c>
      <c r="Y27" s="647">
        <v>863031931.75384665</v>
      </c>
      <c r="Z27" s="648">
        <v>1512915023.5692308</v>
      </c>
      <c r="AA27" s="646">
        <v>736960.61538461538</v>
      </c>
      <c r="AB27" s="650"/>
      <c r="AG27" s="662"/>
      <c r="AI27" s="637"/>
    </row>
    <row r="28" spans="1:56" ht="17.25" customHeight="1" x14ac:dyDescent="0.2">
      <c r="A28" s="242" t="s">
        <v>106</v>
      </c>
      <c r="B28" s="646">
        <f t="shared" si="5"/>
        <v>5509.0769230769229</v>
      </c>
      <c r="C28" s="647">
        <f t="shared" si="5"/>
        <v>63976.461538461546</v>
      </c>
      <c r="D28" s="648">
        <f t="shared" si="5"/>
        <v>35036.307692307688</v>
      </c>
      <c r="E28" s="647">
        <v>0</v>
      </c>
      <c r="F28" s="648">
        <v>0</v>
      </c>
      <c r="G28" s="647">
        <v>0</v>
      </c>
      <c r="H28" s="648">
        <v>0</v>
      </c>
      <c r="I28" s="646">
        <f t="shared" si="6"/>
        <v>695539.61538461538</v>
      </c>
      <c r="J28" s="242" t="s">
        <v>106</v>
      </c>
      <c r="K28" s="646">
        <v>1664</v>
      </c>
      <c r="L28" s="647">
        <v>15330.692307692309</v>
      </c>
      <c r="M28" s="648">
        <v>0</v>
      </c>
      <c r="N28" s="647">
        <v>0</v>
      </c>
      <c r="O28" s="648">
        <v>0</v>
      </c>
      <c r="P28" s="647">
        <v>0</v>
      </c>
      <c r="Q28" s="648">
        <v>0</v>
      </c>
      <c r="R28" s="646">
        <v>348769</v>
      </c>
      <c r="S28" s="242" t="s">
        <v>106</v>
      </c>
      <c r="T28" s="646">
        <v>3845.0769230769229</v>
      </c>
      <c r="U28" s="647">
        <v>48645.769230769234</v>
      </c>
      <c r="V28" s="648">
        <v>35036.307692307688</v>
      </c>
      <c r="W28" s="647">
        <v>3332064.9153846158</v>
      </c>
      <c r="X28" s="648">
        <v>5530987.3230769215</v>
      </c>
      <c r="Y28" s="647">
        <v>240397282.82307723</v>
      </c>
      <c r="Z28" s="648">
        <v>428440917.04615414</v>
      </c>
      <c r="AA28" s="646">
        <v>346770.61538461538</v>
      </c>
      <c r="AB28" s="650"/>
      <c r="AG28" s="662"/>
      <c r="AI28" s="637"/>
    </row>
    <row r="29" spans="1:56" ht="17.25" customHeight="1" x14ac:dyDescent="0.2">
      <c r="A29" s="242" t="s">
        <v>99</v>
      </c>
      <c r="B29" s="646">
        <f t="shared" si="5"/>
        <v>37862.38461538461</v>
      </c>
      <c r="C29" s="647">
        <f t="shared" si="5"/>
        <v>516116.30769230775</v>
      </c>
      <c r="D29" s="648">
        <f t="shared" si="5"/>
        <v>180746.69230769231</v>
      </c>
      <c r="E29" s="647">
        <v>0</v>
      </c>
      <c r="F29" s="648">
        <v>0</v>
      </c>
      <c r="G29" s="647">
        <v>0</v>
      </c>
      <c r="H29" s="648">
        <v>0</v>
      </c>
      <c r="I29" s="646">
        <f t="shared" si="6"/>
        <v>7467154.230769231</v>
      </c>
      <c r="J29" s="242" t="s">
        <v>99</v>
      </c>
      <c r="K29" s="646">
        <v>27256.615384615383</v>
      </c>
      <c r="L29" s="647">
        <v>311780.46153846156</v>
      </c>
      <c r="M29" s="648">
        <v>0</v>
      </c>
      <c r="N29" s="647">
        <v>0</v>
      </c>
      <c r="O29" s="648">
        <v>0</v>
      </c>
      <c r="P29" s="647">
        <v>0</v>
      </c>
      <c r="Q29" s="648">
        <v>0</v>
      </c>
      <c r="R29" s="646">
        <v>6497468</v>
      </c>
      <c r="S29" s="242" t="s">
        <v>99</v>
      </c>
      <c r="T29" s="646">
        <v>10605.76923076923</v>
      </c>
      <c r="U29" s="647">
        <v>204335.84615384616</v>
      </c>
      <c r="V29" s="648">
        <v>180746.69230769231</v>
      </c>
      <c r="W29" s="647">
        <v>11874322.146153845</v>
      </c>
      <c r="X29" s="648">
        <v>21025042.069230765</v>
      </c>
      <c r="Y29" s="647">
        <v>1011018790.3384604</v>
      </c>
      <c r="Z29" s="648">
        <v>1741329623.7076945</v>
      </c>
      <c r="AA29" s="646">
        <v>969686.23076923075</v>
      </c>
      <c r="AB29" s="650"/>
      <c r="AG29" s="662"/>
      <c r="AI29" s="637"/>
    </row>
    <row r="30" spans="1:56" ht="17.25" customHeight="1" x14ac:dyDescent="0.2">
      <c r="A30" s="242" t="s">
        <v>111</v>
      </c>
      <c r="B30" s="646">
        <f t="shared" si="5"/>
        <v>15615.692307692309</v>
      </c>
      <c r="C30" s="647">
        <f t="shared" si="5"/>
        <v>231744.15384615387</v>
      </c>
      <c r="D30" s="648">
        <f t="shared" si="5"/>
        <v>194713.61538461538</v>
      </c>
      <c r="E30" s="647">
        <v>0</v>
      </c>
      <c r="F30" s="648">
        <v>0</v>
      </c>
      <c r="G30" s="647">
        <v>0</v>
      </c>
      <c r="H30" s="648">
        <v>0</v>
      </c>
      <c r="I30" s="646">
        <f t="shared" si="6"/>
        <v>1449651.923076923</v>
      </c>
      <c r="J30" s="242" t="s">
        <v>111</v>
      </c>
      <c r="K30" s="646">
        <v>5446.2307692307695</v>
      </c>
      <c r="L30" s="647">
        <v>49403.769230769234</v>
      </c>
      <c r="M30" s="648">
        <v>0</v>
      </c>
      <c r="N30" s="647">
        <v>0</v>
      </c>
      <c r="O30" s="648">
        <v>0</v>
      </c>
      <c r="P30" s="647">
        <v>0</v>
      </c>
      <c r="Q30" s="648">
        <v>0</v>
      </c>
      <c r="R30" s="646">
        <v>676371.15384615387</v>
      </c>
      <c r="S30" s="242" t="s">
        <v>111</v>
      </c>
      <c r="T30" s="646">
        <v>10169.461538461539</v>
      </c>
      <c r="U30" s="647">
        <v>182340.38461538462</v>
      </c>
      <c r="V30" s="648">
        <v>194713.61538461538</v>
      </c>
      <c r="W30" s="647">
        <v>12002626.799999999</v>
      </c>
      <c r="X30" s="648">
        <v>21210149.346153848</v>
      </c>
      <c r="Y30" s="647">
        <v>724683705.53846121</v>
      </c>
      <c r="Z30" s="648">
        <v>1257131971.1538463</v>
      </c>
      <c r="AA30" s="646">
        <v>773280.76923076925</v>
      </c>
      <c r="AB30" s="650"/>
      <c r="AG30" s="662"/>
      <c r="AI30" s="637"/>
    </row>
    <row r="31" spans="1:56" ht="17.25" customHeight="1" x14ac:dyDescent="0.2">
      <c r="A31" s="242" t="s">
        <v>96</v>
      </c>
      <c r="B31" s="646">
        <f t="shared" si="5"/>
        <v>29331.76923076923</v>
      </c>
      <c r="C31" s="647">
        <f t="shared" si="5"/>
        <v>476187.69230769231</v>
      </c>
      <c r="D31" s="648">
        <f t="shared" si="5"/>
        <v>450909.38461538462</v>
      </c>
      <c r="E31" s="647">
        <v>0</v>
      </c>
      <c r="F31" s="648">
        <v>0</v>
      </c>
      <c r="G31" s="647">
        <v>0</v>
      </c>
      <c r="H31" s="648">
        <v>0</v>
      </c>
      <c r="I31" s="646">
        <f t="shared" si="6"/>
        <v>5397898.4307692312</v>
      </c>
      <c r="J31" s="242" t="s">
        <v>96</v>
      </c>
      <c r="K31" s="646">
        <v>3324.0769230769229</v>
      </c>
      <c r="L31" s="647">
        <v>30928.923076923078</v>
      </c>
      <c r="M31" s="648">
        <v>0</v>
      </c>
      <c r="N31" s="647">
        <v>0</v>
      </c>
      <c r="O31" s="648">
        <v>0</v>
      </c>
      <c r="P31" s="647">
        <v>0</v>
      </c>
      <c r="Q31" s="648">
        <v>0</v>
      </c>
      <c r="R31" s="646">
        <v>1558605.7692307692</v>
      </c>
      <c r="S31" s="242" t="s">
        <v>96</v>
      </c>
      <c r="T31" s="646">
        <v>26007.692307692309</v>
      </c>
      <c r="U31" s="647">
        <v>445258.76923076925</v>
      </c>
      <c r="V31" s="648">
        <v>450909.38461538462</v>
      </c>
      <c r="W31" s="647">
        <v>33743865.469230764</v>
      </c>
      <c r="X31" s="648">
        <v>56860897.000000007</v>
      </c>
      <c r="Y31" s="647">
        <v>4988312543.2323217</v>
      </c>
      <c r="Z31" s="648">
        <v>8307019675.4722948</v>
      </c>
      <c r="AA31" s="646">
        <v>3839292.6615384617</v>
      </c>
      <c r="AB31" s="650"/>
      <c r="AG31" s="662"/>
      <c r="AI31" s="637"/>
    </row>
    <row r="32" spans="1:56" ht="17.25" customHeight="1" x14ac:dyDescent="0.2">
      <c r="A32" s="242" t="s">
        <v>199</v>
      </c>
      <c r="B32" s="646">
        <f t="shared" si="5"/>
        <v>14201.076923076924</v>
      </c>
      <c r="C32" s="647">
        <f t="shared" si="5"/>
        <v>115227.92307692306</v>
      </c>
      <c r="D32" s="648">
        <f t="shared" si="5"/>
        <v>86975.38461538461</v>
      </c>
      <c r="E32" s="647">
        <v>0</v>
      </c>
      <c r="F32" s="648">
        <v>0</v>
      </c>
      <c r="G32" s="647">
        <v>0</v>
      </c>
      <c r="H32" s="648">
        <v>0</v>
      </c>
      <c r="I32" s="646">
        <f t="shared" si="6"/>
        <v>1384188.6153846155</v>
      </c>
      <c r="J32" s="242" t="s">
        <v>199</v>
      </c>
      <c r="K32" s="646">
        <v>4163</v>
      </c>
      <c r="L32" s="647">
        <v>21755.538461538461</v>
      </c>
      <c r="M32" s="648">
        <v>0</v>
      </c>
      <c r="N32" s="647">
        <v>0</v>
      </c>
      <c r="O32" s="648">
        <v>0</v>
      </c>
      <c r="P32" s="647">
        <v>0</v>
      </c>
      <c r="Q32" s="648">
        <v>0</v>
      </c>
      <c r="R32" s="646">
        <v>703415</v>
      </c>
      <c r="S32" s="242" t="s">
        <v>199</v>
      </c>
      <c r="T32" s="646">
        <v>10038.076923076924</v>
      </c>
      <c r="U32" s="647">
        <v>93472.38461538461</v>
      </c>
      <c r="V32" s="648">
        <v>86975.38461538461</v>
      </c>
      <c r="W32" s="647">
        <v>5576186.3000000007</v>
      </c>
      <c r="X32" s="648">
        <v>10003543.053846152</v>
      </c>
      <c r="Y32" s="647">
        <v>392096477.83846158</v>
      </c>
      <c r="Z32" s="648">
        <v>706183616.25384617</v>
      </c>
      <c r="AA32" s="646">
        <v>680773.61538461538</v>
      </c>
      <c r="AB32" s="650"/>
      <c r="AG32" s="662"/>
      <c r="AI32" s="637"/>
      <c r="AP32" s="637"/>
      <c r="AQ32" s="637"/>
      <c r="AR32" s="637"/>
      <c r="AS32" s="637"/>
      <c r="AT32" s="637"/>
      <c r="AU32" s="637"/>
      <c r="AV32" s="637"/>
      <c r="AW32" s="637"/>
      <c r="AX32" s="637"/>
      <c r="AY32" s="637"/>
      <c r="AZ32" s="637"/>
      <c r="BA32" s="637"/>
      <c r="BB32" s="637"/>
      <c r="BC32" s="637"/>
      <c r="BD32" s="637"/>
    </row>
    <row r="33" spans="1:60" ht="17.25" customHeight="1" x14ac:dyDescent="0.2">
      <c r="A33" s="242" t="s">
        <v>113</v>
      </c>
      <c r="B33" s="646">
        <f t="shared" si="5"/>
        <v>17355.692307692305</v>
      </c>
      <c r="C33" s="647">
        <f t="shared" si="5"/>
        <v>224235.23076923078</v>
      </c>
      <c r="D33" s="648">
        <f t="shared" si="5"/>
        <v>77055.461538461532</v>
      </c>
      <c r="E33" s="647">
        <v>0</v>
      </c>
      <c r="F33" s="648">
        <v>0</v>
      </c>
      <c r="G33" s="647">
        <v>0</v>
      </c>
      <c r="H33" s="648">
        <v>0</v>
      </c>
      <c r="I33" s="646">
        <f t="shared" si="6"/>
        <v>1232376.6461538463</v>
      </c>
      <c r="J33" s="242" t="s">
        <v>588</v>
      </c>
      <c r="K33" s="646">
        <v>8964.1538461538457</v>
      </c>
      <c r="L33" s="647">
        <v>84477.846153846156</v>
      </c>
      <c r="M33" s="648">
        <v>0</v>
      </c>
      <c r="N33" s="647">
        <v>0</v>
      </c>
      <c r="O33" s="648">
        <v>0</v>
      </c>
      <c r="P33" s="647">
        <v>0</v>
      </c>
      <c r="Q33" s="648">
        <v>0</v>
      </c>
      <c r="R33" s="646">
        <v>858043.27692307683</v>
      </c>
      <c r="S33" s="242" t="s">
        <v>588</v>
      </c>
      <c r="T33" s="646">
        <v>8391.538461538461</v>
      </c>
      <c r="U33" s="647">
        <v>139757.38461538462</v>
      </c>
      <c r="V33" s="648">
        <v>77055.461538461532</v>
      </c>
      <c r="W33" s="647">
        <v>6211694.307692307</v>
      </c>
      <c r="X33" s="648">
        <v>11233403.43846154</v>
      </c>
      <c r="Y33" s="647">
        <v>256345007.54615384</v>
      </c>
      <c r="Z33" s="648">
        <v>466673632.88769269</v>
      </c>
      <c r="AA33" s="646">
        <v>374333.36923076934</v>
      </c>
      <c r="AB33" s="650"/>
      <c r="AG33" s="662"/>
      <c r="AI33" s="637"/>
      <c r="AP33" s="637"/>
      <c r="AQ33" s="637"/>
      <c r="AR33" s="637"/>
      <c r="AS33" s="637"/>
      <c r="AT33" s="637"/>
      <c r="AU33" s="637"/>
      <c r="AV33" s="637"/>
      <c r="AW33" s="637"/>
      <c r="AX33" s="637"/>
      <c r="AY33" s="637"/>
      <c r="AZ33" s="637"/>
      <c r="BA33" s="579"/>
      <c r="BB33" s="579"/>
      <c r="BC33" s="637"/>
      <c r="BD33" s="637"/>
      <c r="BE33" s="637"/>
      <c r="BF33" s="637"/>
      <c r="BG33" s="637"/>
      <c r="BH33" s="637"/>
    </row>
    <row r="34" spans="1:60" ht="17.25" customHeight="1" x14ac:dyDescent="0.2">
      <c r="A34" s="242" t="s">
        <v>200</v>
      </c>
      <c r="B34" s="646">
        <f t="shared" si="5"/>
        <v>33884.153846153844</v>
      </c>
      <c r="C34" s="647">
        <f t="shared" si="5"/>
        <v>354744.69230769231</v>
      </c>
      <c r="D34" s="648">
        <f t="shared" si="5"/>
        <v>108801.15384615384</v>
      </c>
      <c r="E34" s="647">
        <v>0</v>
      </c>
      <c r="F34" s="648">
        <v>0</v>
      </c>
      <c r="G34" s="647">
        <v>0</v>
      </c>
      <c r="H34" s="648">
        <v>0</v>
      </c>
      <c r="I34" s="646">
        <f t="shared" si="6"/>
        <v>13016126.615384616</v>
      </c>
      <c r="J34" s="242" t="s">
        <v>589</v>
      </c>
      <c r="K34" s="646">
        <v>25935</v>
      </c>
      <c r="L34" s="647">
        <v>253882.53846153847</v>
      </c>
      <c r="M34" s="648">
        <v>0</v>
      </c>
      <c r="N34" s="647">
        <v>0</v>
      </c>
      <c r="O34" s="648">
        <v>0</v>
      </c>
      <c r="P34" s="647">
        <v>0</v>
      </c>
      <c r="Q34" s="648">
        <v>0</v>
      </c>
      <c r="R34" s="646">
        <v>11933822.76923077</v>
      </c>
      <c r="S34" s="242" t="s">
        <v>589</v>
      </c>
      <c r="T34" s="646">
        <v>7949.1538461538457</v>
      </c>
      <c r="U34" s="647">
        <v>100862.15384615384</v>
      </c>
      <c r="V34" s="648">
        <v>108801.15384615384</v>
      </c>
      <c r="W34" s="647">
        <v>5901040.0000000009</v>
      </c>
      <c r="X34" s="648">
        <v>10959239.792307692</v>
      </c>
      <c r="Y34" s="647">
        <v>958004013.82307732</v>
      </c>
      <c r="Z34" s="648">
        <v>1759022789.9384618</v>
      </c>
      <c r="AA34" s="646">
        <v>1082303.846153846</v>
      </c>
      <c r="AB34" s="650"/>
      <c r="AG34" s="662"/>
      <c r="AI34" s="637"/>
    </row>
    <row r="35" spans="1:60" ht="17.25" customHeight="1" x14ac:dyDescent="0.2">
      <c r="A35" s="242" t="s">
        <v>590</v>
      </c>
      <c r="B35" s="646">
        <f t="shared" si="5"/>
        <v>5181.538461538461</v>
      </c>
      <c r="C35" s="647">
        <f t="shared" si="5"/>
        <v>26759.307692307695</v>
      </c>
      <c r="D35" s="648">
        <f t="shared" si="5"/>
        <v>20253.76923076923</v>
      </c>
      <c r="E35" s="647">
        <v>0</v>
      </c>
      <c r="F35" s="648">
        <v>0</v>
      </c>
      <c r="G35" s="647">
        <v>0</v>
      </c>
      <c r="H35" s="648">
        <v>0</v>
      </c>
      <c r="I35" s="646">
        <f t="shared" si="6"/>
        <v>271825.15384615387</v>
      </c>
      <c r="J35" s="242" t="s">
        <v>590</v>
      </c>
      <c r="K35" s="646">
        <v>2095.3846153846152</v>
      </c>
      <c r="L35" s="647">
        <v>9050.8461538461543</v>
      </c>
      <c r="M35" s="648">
        <v>0</v>
      </c>
      <c r="N35" s="647">
        <v>0</v>
      </c>
      <c r="O35" s="648">
        <v>0</v>
      </c>
      <c r="P35" s="647">
        <v>0</v>
      </c>
      <c r="Q35" s="648">
        <v>0</v>
      </c>
      <c r="R35" s="646">
        <v>140950.38461538462</v>
      </c>
      <c r="S35" s="242" t="s">
        <v>590</v>
      </c>
      <c r="T35" s="646">
        <v>3086.1538461538462</v>
      </c>
      <c r="U35" s="647">
        <v>17708.461538461539</v>
      </c>
      <c r="V35" s="648">
        <v>20253.76923076923</v>
      </c>
      <c r="W35" s="647">
        <v>960980.13076923066</v>
      </c>
      <c r="X35" s="648">
        <v>1856396.0846153845</v>
      </c>
      <c r="Y35" s="647">
        <v>36414213.484615386</v>
      </c>
      <c r="Z35" s="648">
        <v>70968665.738461539</v>
      </c>
      <c r="AA35" s="646">
        <v>130874.76923076923</v>
      </c>
      <c r="AB35" s="650"/>
      <c r="AG35" s="662"/>
      <c r="AI35" s="637"/>
    </row>
    <row r="36" spans="1:60" ht="17.25" customHeight="1" x14ac:dyDescent="0.2">
      <c r="A36" s="242" t="s">
        <v>110</v>
      </c>
      <c r="B36" s="646">
        <f t="shared" si="5"/>
        <v>13293.461538461539</v>
      </c>
      <c r="C36" s="647">
        <f t="shared" si="5"/>
        <v>163361.38461538462</v>
      </c>
      <c r="D36" s="648">
        <f t="shared" si="5"/>
        <v>46561.692307692305</v>
      </c>
      <c r="E36" s="647">
        <v>0</v>
      </c>
      <c r="F36" s="648">
        <v>0</v>
      </c>
      <c r="G36" s="647">
        <v>0</v>
      </c>
      <c r="H36" s="648">
        <v>0</v>
      </c>
      <c r="I36" s="646">
        <f t="shared" si="6"/>
        <v>2002939.7692307692</v>
      </c>
      <c r="J36" s="242" t="s">
        <v>110</v>
      </c>
      <c r="K36" s="646">
        <v>6950.8461538461543</v>
      </c>
      <c r="L36" s="647">
        <v>59593.615384615383</v>
      </c>
      <c r="M36" s="648">
        <v>0</v>
      </c>
      <c r="N36" s="647">
        <v>0</v>
      </c>
      <c r="O36" s="648">
        <v>0</v>
      </c>
      <c r="P36" s="647">
        <v>0</v>
      </c>
      <c r="Q36" s="648">
        <v>0</v>
      </c>
      <c r="R36" s="646">
        <v>1329036.7692307692</v>
      </c>
      <c r="S36" s="242" t="s">
        <v>110</v>
      </c>
      <c r="T36" s="646">
        <v>6342.6153846153848</v>
      </c>
      <c r="U36" s="647">
        <v>103767.76923076923</v>
      </c>
      <c r="V36" s="648">
        <v>46561.692307692305</v>
      </c>
      <c r="W36" s="647">
        <v>4503021.3538461542</v>
      </c>
      <c r="X36" s="648">
        <v>7794915.3692307696</v>
      </c>
      <c r="Y36" s="647">
        <v>398137738.00769258</v>
      </c>
      <c r="Z36" s="648">
        <v>726271266.10000098</v>
      </c>
      <c r="AA36" s="646">
        <v>673903</v>
      </c>
      <c r="AB36" s="650"/>
      <c r="AG36" s="662"/>
      <c r="AI36" s="637"/>
    </row>
    <row r="37" spans="1:60" ht="17.25" customHeight="1" x14ac:dyDescent="0.2">
      <c r="A37" s="242" t="s">
        <v>109</v>
      </c>
      <c r="B37" s="646">
        <f t="shared" si="5"/>
        <v>1910.9230769230769</v>
      </c>
      <c r="C37" s="647">
        <f t="shared" si="5"/>
        <v>16775.307692307691</v>
      </c>
      <c r="D37" s="648">
        <f t="shared" si="5"/>
        <v>7839.0769230769229</v>
      </c>
      <c r="E37" s="647">
        <v>0</v>
      </c>
      <c r="F37" s="648">
        <v>0</v>
      </c>
      <c r="G37" s="647">
        <v>0</v>
      </c>
      <c r="H37" s="648">
        <v>0</v>
      </c>
      <c r="I37" s="646">
        <f t="shared" si="6"/>
        <v>411299.84615384613</v>
      </c>
      <c r="J37" s="242" t="s">
        <v>109</v>
      </c>
      <c r="K37" s="646">
        <v>975.30769230769226</v>
      </c>
      <c r="L37" s="647">
        <v>9451.3076923076915</v>
      </c>
      <c r="M37" s="648">
        <v>0</v>
      </c>
      <c r="N37" s="647">
        <v>0</v>
      </c>
      <c r="O37" s="648">
        <v>0</v>
      </c>
      <c r="P37" s="647">
        <v>0</v>
      </c>
      <c r="Q37" s="648">
        <v>0</v>
      </c>
      <c r="R37" s="646">
        <v>268842</v>
      </c>
      <c r="S37" s="242" t="s">
        <v>109</v>
      </c>
      <c r="T37" s="646">
        <v>935.61538461538464</v>
      </c>
      <c r="U37" s="647">
        <v>7324</v>
      </c>
      <c r="V37" s="648">
        <v>7839.0769230769229</v>
      </c>
      <c r="W37" s="647">
        <v>467907.46153846156</v>
      </c>
      <c r="X37" s="648">
        <v>821977.15384615387</v>
      </c>
      <c r="Y37" s="647">
        <v>82817230.576923072</v>
      </c>
      <c r="Z37" s="648">
        <v>142580926.5</v>
      </c>
      <c r="AA37" s="646">
        <v>142457.84615384616</v>
      </c>
      <c r="AB37" s="650"/>
      <c r="AG37" s="662"/>
      <c r="AI37" s="637"/>
    </row>
    <row r="38" spans="1:60" ht="17.25" customHeight="1" x14ac:dyDescent="0.2">
      <c r="A38" s="242" t="s">
        <v>104</v>
      </c>
      <c r="B38" s="646">
        <f t="shared" si="5"/>
        <v>2427.3076923076924</v>
      </c>
      <c r="C38" s="647">
        <f t="shared" si="5"/>
        <v>22730.692307692305</v>
      </c>
      <c r="D38" s="648">
        <f t="shared" si="5"/>
        <v>11122.923076923076</v>
      </c>
      <c r="E38" s="647">
        <v>0</v>
      </c>
      <c r="F38" s="648">
        <v>0</v>
      </c>
      <c r="G38" s="647">
        <v>0</v>
      </c>
      <c r="H38" s="648">
        <v>0</v>
      </c>
      <c r="I38" s="646">
        <f t="shared" si="6"/>
        <v>602892.84615384613</v>
      </c>
      <c r="J38" s="242" t="s">
        <v>104</v>
      </c>
      <c r="K38" s="646">
        <v>1130</v>
      </c>
      <c r="L38" s="647">
        <v>12307.384615384615</v>
      </c>
      <c r="M38" s="648">
        <v>0</v>
      </c>
      <c r="N38" s="647">
        <v>0</v>
      </c>
      <c r="O38" s="648">
        <v>0</v>
      </c>
      <c r="P38" s="647">
        <v>0</v>
      </c>
      <c r="Q38" s="648">
        <v>0</v>
      </c>
      <c r="R38" s="646">
        <v>483146</v>
      </c>
      <c r="S38" s="242" t="s">
        <v>104</v>
      </c>
      <c r="T38" s="646">
        <v>1297.3076923076924</v>
      </c>
      <c r="U38" s="647">
        <v>10423.307692307691</v>
      </c>
      <c r="V38" s="648">
        <v>11122.923076923076</v>
      </c>
      <c r="W38" s="647">
        <v>651409.0230769231</v>
      </c>
      <c r="X38" s="648">
        <v>1146942.2461538462</v>
      </c>
      <c r="Y38" s="647">
        <v>36708499.384615384</v>
      </c>
      <c r="Z38" s="648">
        <v>68951238.70769231</v>
      </c>
      <c r="AA38" s="646">
        <v>119746.84615384616</v>
      </c>
      <c r="AB38" s="650"/>
      <c r="AG38" s="662"/>
      <c r="AI38" s="637"/>
    </row>
    <row r="39" spans="1:60" ht="17.25" customHeight="1" x14ac:dyDescent="0.2">
      <c r="A39" s="242" t="s">
        <v>108</v>
      </c>
      <c r="B39" s="646">
        <f t="shared" si="5"/>
        <v>32376.384615384617</v>
      </c>
      <c r="C39" s="647">
        <f t="shared" si="5"/>
        <v>467266.23076923075</v>
      </c>
      <c r="D39" s="648">
        <f t="shared" si="5"/>
        <v>213008.61538461538</v>
      </c>
      <c r="E39" s="647">
        <v>0</v>
      </c>
      <c r="F39" s="648">
        <v>0</v>
      </c>
      <c r="G39" s="647">
        <v>0</v>
      </c>
      <c r="H39" s="648">
        <v>0</v>
      </c>
      <c r="I39" s="646">
        <f t="shared" si="6"/>
        <v>3007805.076923077</v>
      </c>
      <c r="J39" s="242" t="s">
        <v>108</v>
      </c>
      <c r="K39" s="646">
        <v>17556.23076923077</v>
      </c>
      <c r="L39" s="647">
        <v>178605.61538461538</v>
      </c>
      <c r="M39" s="648">
        <v>0</v>
      </c>
      <c r="N39" s="647">
        <v>0</v>
      </c>
      <c r="O39" s="648">
        <v>0</v>
      </c>
      <c r="P39" s="647">
        <v>0</v>
      </c>
      <c r="Q39" s="648">
        <v>0</v>
      </c>
      <c r="R39" s="646">
        <v>1944849.3846153845</v>
      </c>
      <c r="S39" s="242" t="s">
        <v>108</v>
      </c>
      <c r="T39" s="646">
        <v>14820.153846153846</v>
      </c>
      <c r="U39" s="647">
        <v>288660.61538461538</v>
      </c>
      <c r="V39" s="648">
        <v>213008.61538461538</v>
      </c>
      <c r="W39" s="647">
        <v>16222800.115384614</v>
      </c>
      <c r="X39" s="648">
        <v>28136597.946153842</v>
      </c>
      <c r="Y39" s="647">
        <v>1003786565.0076897</v>
      </c>
      <c r="Z39" s="648">
        <v>1760233588.5153794</v>
      </c>
      <c r="AA39" s="646">
        <v>1062955.6923076923</v>
      </c>
      <c r="AB39" s="650"/>
      <c r="AG39" s="662"/>
      <c r="AI39" s="637"/>
    </row>
    <row r="40" spans="1:60" ht="17.25" customHeight="1" x14ac:dyDescent="0.2">
      <c r="A40" s="242" t="s">
        <v>105</v>
      </c>
      <c r="B40" s="646">
        <f t="shared" si="5"/>
        <v>11126.615384615385</v>
      </c>
      <c r="C40" s="647">
        <f t="shared" si="5"/>
        <v>138977.76923076925</v>
      </c>
      <c r="D40" s="648">
        <f t="shared" si="5"/>
        <v>98560.307692307688</v>
      </c>
      <c r="E40" s="647">
        <v>0</v>
      </c>
      <c r="F40" s="648">
        <v>0</v>
      </c>
      <c r="G40" s="647">
        <v>0</v>
      </c>
      <c r="H40" s="648">
        <v>0</v>
      </c>
      <c r="I40" s="646">
        <f t="shared" si="6"/>
        <v>1558468.5384615385</v>
      </c>
      <c r="J40" s="242" t="s">
        <v>105</v>
      </c>
      <c r="K40" s="646">
        <v>2502.6153846153848</v>
      </c>
      <c r="L40" s="647">
        <v>31039</v>
      </c>
      <c r="M40" s="648">
        <v>0</v>
      </c>
      <c r="N40" s="647">
        <v>0</v>
      </c>
      <c r="O40" s="648">
        <v>0</v>
      </c>
      <c r="P40" s="647">
        <v>0</v>
      </c>
      <c r="Q40" s="648">
        <v>0</v>
      </c>
      <c r="R40" s="646">
        <v>737186.30769230775</v>
      </c>
      <c r="S40" s="242" t="s">
        <v>105</v>
      </c>
      <c r="T40" s="646">
        <v>8624</v>
      </c>
      <c r="U40" s="647">
        <v>107938.76923076923</v>
      </c>
      <c r="V40" s="648">
        <v>98560.307692307688</v>
      </c>
      <c r="W40" s="647">
        <v>6672327.6000000006</v>
      </c>
      <c r="X40" s="648">
        <v>11764132.938461538</v>
      </c>
      <c r="Y40" s="647">
        <v>684080233.599998</v>
      </c>
      <c r="Z40" s="648">
        <v>1245637765.8384647</v>
      </c>
      <c r="AA40" s="646">
        <v>821282.23076923075</v>
      </c>
      <c r="AB40" s="650"/>
      <c r="AG40" s="662"/>
      <c r="AI40" s="637"/>
    </row>
    <row r="41" spans="1:60" ht="17.25" customHeight="1" x14ac:dyDescent="0.2">
      <c r="A41" s="242" t="s">
        <v>112</v>
      </c>
      <c r="B41" s="646">
        <f t="shared" si="5"/>
        <v>12402.307692307691</v>
      </c>
      <c r="C41" s="647">
        <f t="shared" si="5"/>
        <v>222470.30769230769</v>
      </c>
      <c r="D41" s="648">
        <f t="shared" si="5"/>
        <v>160875.07692307694</v>
      </c>
      <c r="E41" s="647">
        <v>0</v>
      </c>
      <c r="F41" s="648">
        <v>0</v>
      </c>
      <c r="G41" s="647">
        <v>0</v>
      </c>
      <c r="H41" s="648">
        <v>0</v>
      </c>
      <c r="I41" s="646">
        <f t="shared" si="6"/>
        <v>1279033.6923076925</v>
      </c>
      <c r="J41" s="242" t="s">
        <v>112</v>
      </c>
      <c r="K41" s="646">
        <v>4443.7692307692305</v>
      </c>
      <c r="L41" s="647">
        <v>55353.384615384617</v>
      </c>
      <c r="M41" s="648">
        <v>0</v>
      </c>
      <c r="N41" s="647">
        <v>0</v>
      </c>
      <c r="O41" s="648">
        <v>0</v>
      </c>
      <c r="P41" s="647">
        <v>0</v>
      </c>
      <c r="Q41" s="648">
        <v>0</v>
      </c>
      <c r="R41" s="646">
        <v>524420.07692307699</v>
      </c>
      <c r="S41" s="242" t="s">
        <v>112</v>
      </c>
      <c r="T41" s="646">
        <v>7958.5384615384619</v>
      </c>
      <c r="U41" s="647">
        <v>167116.92307692306</v>
      </c>
      <c r="V41" s="648">
        <v>160875.07692307694</v>
      </c>
      <c r="W41" s="647">
        <v>10618924.946153846</v>
      </c>
      <c r="X41" s="648">
        <v>18138290.800000004</v>
      </c>
      <c r="Y41" s="647">
        <v>647330778</v>
      </c>
      <c r="Z41" s="648">
        <v>1124048508.2153838</v>
      </c>
      <c r="AA41" s="646">
        <v>754613.61538461538</v>
      </c>
      <c r="AB41" s="650"/>
      <c r="AG41" s="662"/>
      <c r="AI41" s="637"/>
    </row>
    <row r="42" spans="1:60" ht="18.75" customHeight="1" x14ac:dyDescent="0.2">
      <c r="A42" s="242" t="s">
        <v>101</v>
      </c>
      <c r="B42" s="646">
        <f t="shared" si="5"/>
        <v>27384.076923076922</v>
      </c>
      <c r="C42" s="647">
        <f t="shared" si="5"/>
        <v>578565.69230769225</v>
      </c>
      <c r="D42" s="648">
        <f t="shared" si="5"/>
        <v>389632.23076923075</v>
      </c>
      <c r="E42" s="647">
        <v>0</v>
      </c>
      <c r="F42" s="648">
        <v>0</v>
      </c>
      <c r="G42" s="647">
        <v>0</v>
      </c>
      <c r="H42" s="648">
        <v>0</v>
      </c>
      <c r="I42" s="646">
        <f t="shared" si="6"/>
        <v>5475832.076923077</v>
      </c>
      <c r="J42" s="242" t="s">
        <v>101</v>
      </c>
      <c r="K42" s="646">
        <v>2382.7692307692309</v>
      </c>
      <c r="L42" s="647">
        <v>26404.76923076923</v>
      </c>
      <c r="M42" s="648">
        <v>0</v>
      </c>
      <c r="N42" s="647">
        <v>0</v>
      </c>
      <c r="O42" s="648">
        <v>0</v>
      </c>
      <c r="P42" s="647">
        <v>0</v>
      </c>
      <c r="Q42" s="648">
        <v>0</v>
      </c>
      <c r="R42" s="646">
        <v>1225522.076923077</v>
      </c>
      <c r="S42" s="242" t="s">
        <v>101</v>
      </c>
      <c r="T42" s="646">
        <v>25001.307692307691</v>
      </c>
      <c r="U42" s="647">
        <v>552160.92307692301</v>
      </c>
      <c r="V42" s="648">
        <v>389632.23076923075</v>
      </c>
      <c r="W42" s="647">
        <v>31227231.061538458</v>
      </c>
      <c r="X42" s="648">
        <v>52506657.730769232</v>
      </c>
      <c r="Y42" s="647">
        <v>5098322191.5615444</v>
      </c>
      <c r="Z42" s="648">
        <v>8719351559.6386108</v>
      </c>
      <c r="AA42" s="646">
        <v>4250310</v>
      </c>
      <c r="AG42" s="662"/>
      <c r="AI42" s="650"/>
    </row>
    <row r="43" spans="1:60" ht="17.25" customHeight="1" thickBot="1" x14ac:dyDescent="0.25">
      <c r="A43" s="277" t="s">
        <v>95</v>
      </c>
      <c r="B43" s="646">
        <f t="shared" si="5"/>
        <v>38370.307692307688</v>
      </c>
      <c r="C43" s="647">
        <f t="shared" si="5"/>
        <v>723292.84615384624</v>
      </c>
      <c r="D43" s="648">
        <f t="shared" si="5"/>
        <v>607503.4615384615</v>
      </c>
      <c r="E43" s="647">
        <v>0</v>
      </c>
      <c r="F43" s="648">
        <v>0</v>
      </c>
      <c r="G43" s="647">
        <v>0</v>
      </c>
      <c r="H43" s="648">
        <v>0</v>
      </c>
      <c r="I43" s="646">
        <f t="shared" si="6"/>
        <v>6119167.1846153848</v>
      </c>
      <c r="J43" s="277" t="s">
        <v>95</v>
      </c>
      <c r="K43" s="646">
        <v>7163.6923076923076</v>
      </c>
      <c r="L43" s="647">
        <v>90899.538461538468</v>
      </c>
      <c r="M43" s="109">
        <v>0</v>
      </c>
      <c r="N43" s="647">
        <v>0</v>
      </c>
      <c r="O43" s="109">
        <v>0</v>
      </c>
      <c r="P43" s="647">
        <v>0</v>
      </c>
      <c r="Q43" s="109">
        <v>0</v>
      </c>
      <c r="R43" s="646">
        <v>2058770.4615384615</v>
      </c>
      <c r="S43" s="277" t="s">
        <v>95</v>
      </c>
      <c r="T43" s="646">
        <v>31206.615384615383</v>
      </c>
      <c r="U43" s="647">
        <v>632393.30769230775</v>
      </c>
      <c r="V43" s="109">
        <v>607503.4615384615</v>
      </c>
      <c r="W43" s="647">
        <v>39781440.099999994</v>
      </c>
      <c r="X43" s="109">
        <v>70132646.484615386</v>
      </c>
      <c r="Y43" s="647">
        <v>5005624569.1400185</v>
      </c>
      <c r="Z43" s="109">
        <v>8450774943.1645088</v>
      </c>
      <c r="AA43" s="646">
        <v>4060396.7230769228</v>
      </c>
    </row>
    <row r="44" spans="1:60" ht="20.25" customHeight="1" thickBot="1" x14ac:dyDescent="0.25">
      <c r="A44" s="232" t="s">
        <v>170</v>
      </c>
      <c r="B44" s="655">
        <f t="shared" ref="B44:I44" si="7">SUM(B23:B43)</f>
        <v>466230.69230769231</v>
      </c>
      <c r="C44" s="656">
        <f t="shared" si="7"/>
        <v>6484484.307692308</v>
      </c>
      <c r="D44" s="665">
        <f t="shared" si="7"/>
        <v>3689173.6923076925</v>
      </c>
      <c r="E44" s="656">
        <f t="shared" si="7"/>
        <v>0</v>
      </c>
      <c r="F44" s="665">
        <f t="shared" si="7"/>
        <v>0</v>
      </c>
      <c r="G44" s="656">
        <f t="shared" si="7"/>
        <v>0</v>
      </c>
      <c r="H44" s="665">
        <f t="shared" si="7"/>
        <v>0</v>
      </c>
      <c r="I44" s="510">
        <f t="shared" si="7"/>
        <v>67788957.592307702</v>
      </c>
      <c r="J44" s="232" t="s">
        <v>170</v>
      </c>
      <c r="K44" s="510">
        <f>SUM(K23:K43)</f>
        <v>208060.23076923075</v>
      </c>
      <c r="L44" s="656">
        <f>SUM(L23:L43)</f>
        <v>2070860.4615384617</v>
      </c>
      <c r="M44" s="657">
        <f t="shared" ref="M44:Q44" si="8">SUM(M23:M43)</f>
        <v>0</v>
      </c>
      <c r="N44" s="656">
        <f t="shared" si="8"/>
        <v>0</v>
      </c>
      <c r="O44" s="657">
        <f t="shared" si="8"/>
        <v>0</v>
      </c>
      <c r="P44" s="656">
        <f t="shared" si="8"/>
        <v>0</v>
      </c>
      <c r="Q44" s="657">
        <f t="shared" si="8"/>
        <v>0</v>
      </c>
      <c r="R44" s="510">
        <f>SUM(R23:R43)</f>
        <v>40593216.276923075</v>
      </c>
      <c r="S44" s="232" t="s">
        <v>170</v>
      </c>
      <c r="T44" s="510">
        <f t="shared" ref="T44:AA44" si="9">SUM(T23:T43)</f>
        <v>258170.46153846153</v>
      </c>
      <c r="U44" s="655">
        <f t="shared" si="9"/>
        <v>4413623.8461538451</v>
      </c>
      <c r="V44" s="658">
        <f t="shared" si="9"/>
        <v>3689173.6923076925</v>
      </c>
      <c r="W44" s="655">
        <f t="shared" si="9"/>
        <v>266189687.56153846</v>
      </c>
      <c r="X44" s="658">
        <f t="shared" si="9"/>
        <v>460923791.45384616</v>
      </c>
      <c r="Y44" s="656">
        <f t="shared" si="9"/>
        <v>28462427616.676128</v>
      </c>
      <c r="Z44" s="657">
        <f t="shared" si="9"/>
        <v>48905527189.828629</v>
      </c>
      <c r="AA44" s="510">
        <f t="shared" si="9"/>
        <v>27195741.315384619</v>
      </c>
    </row>
    <row r="45" spans="1:60" x14ac:dyDescent="0.2">
      <c r="B45" s="650"/>
      <c r="C45" s="650"/>
      <c r="D45" s="650"/>
      <c r="E45" s="650"/>
      <c r="F45" s="650"/>
      <c r="G45" s="650"/>
      <c r="H45" s="650"/>
      <c r="I45" s="650"/>
      <c r="J45" s="650"/>
      <c r="K45" s="650"/>
      <c r="L45" s="650"/>
      <c r="M45" s="650"/>
      <c r="N45" s="650"/>
      <c r="O45" s="650"/>
      <c r="P45" s="650"/>
      <c r="Q45" s="650"/>
      <c r="R45" s="650"/>
      <c r="S45" s="650"/>
      <c r="T45" s="650"/>
      <c r="U45" s="650"/>
      <c r="V45" s="650"/>
      <c r="W45" s="650"/>
      <c r="X45" s="650"/>
      <c r="Y45" s="650"/>
      <c r="Z45" s="650"/>
      <c r="AA45" s="650"/>
    </row>
    <row r="46" spans="1:60" x14ac:dyDescent="0.2">
      <c r="A46" s="2827" t="s">
        <v>544</v>
      </c>
      <c r="B46" s="2827"/>
      <c r="C46" s="2827"/>
      <c r="D46" s="2827"/>
      <c r="E46" s="2827"/>
      <c r="F46" s="2827"/>
      <c r="G46" s="2827"/>
      <c r="H46" s="2827"/>
      <c r="I46" s="2827"/>
      <c r="J46" s="2827" t="s">
        <v>544</v>
      </c>
      <c r="K46" s="2827"/>
      <c r="L46" s="2827"/>
      <c r="M46" s="2827"/>
      <c r="N46" s="2827"/>
      <c r="O46" s="2827"/>
      <c r="P46" s="2827"/>
      <c r="Q46" s="2827"/>
      <c r="R46" s="2827"/>
      <c r="S46" s="2827" t="s">
        <v>544</v>
      </c>
      <c r="T46" s="2827"/>
      <c r="U46" s="2827"/>
      <c r="V46" s="2827"/>
      <c r="W46" s="2827"/>
      <c r="X46" s="2827"/>
      <c r="Y46" s="2827"/>
      <c r="Z46" s="2827"/>
      <c r="AA46" s="2827"/>
    </row>
    <row r="47" spans="1:60" ht="13.5" customHeight="1" x14ac:dyDescent="0.2">
      <c r="A47" s="2828"/>
      <c r="B47" s="2828"/>
      <c r="C47" s="2828"/>
      <c r="D47" s="2828"/>
      <c r="E47" s="650"/>
      <c r="F47" s="650"/>
      <c r="G47" s="650"/>
      <c r="H47" s="650"/>
      <c r="I47" s="650"/>
      <c r="Q47" s="650"/>
    </row>
    <row r="48" spans="1:60" ht="31.5" customHeight="1" x14ac:dyDescent="0.2">
      <c r="A48" s="2828"/>
      <c r="B48" s="2828"/>
      <c r="C48" s="2828"/>
      <c r="D48" s="2828"/>
      <c r="K48" s="650"/>
      <c r="Q48" s="650"/>
      <c r="Z48" s="650"/>
    </row>
    <row r="51" spans="2:27" x14ac:dyDescent="0.2">
      <c r="B51" s="650"/>
      <c r="C51" s="650"/>
      <c r="D51" s="650"/>
      <c r="E51" s="650"/>
      <c r="F51" s="650"/>
      <c r="G51" s="650"/>
      <c r="H51" s="650"/>
      <c r="I51" s="650"/>
      <c r="J51" s="650"/>
      <c r="K51" s="650"/>
      <c r="L51" s="650"/>
      <c r="M51" s="650"/>
      <c r="N51" s="650"/>
      <c r="O51" s="650"/>
      <c r="P51" s="650"/>
      <c r="Q51" s="650"/>
      <c r="R51" s="650"/>
      <c r="S51" s="650"/>
      <c r="T51" s="650"/>
      <c r="U51" s="650"/>
      <c r="V51" s="650"/>
      <c r="W51" s="650"/>
      <c r="X51" s="650"/>
      <c r="Y51" s="650"/>
      <c r="Z51" s="650"/>
      <c r="AA51" s="650"/>
    </row>
  </sheetData>
  <mergeCells count="46">
    <mergeCell ref="C2:D2"/>
    <mergeCell ref="E2:F2"/>
    <mergeCell ref="G2:H2"/>
    <mergeCell ref="A1:I1"/>
    <mergeCell ref="J1:R1"/>
    <mergeCell ref="A2:A3"/>
    <mergeCell ref="B2:B3"/>
    <mergeCell ref="S1:AA1"/>
    <mergeCell ref="I2:I3"/>
    <mergeCell ref="J2:J3"/>
    <mergeCell ref="K2:K3"/>
    <mergeCell ref="L2:M2"/>
    <mergeCell ref="N2:O2"/>
    <mergeCell ref="R2:R3"/>
    <mergeCell ref="S2:S3"/>
    <mergeCell ref="T2:T3"/>
    <mergeCell ref="U2:V2"/>
    <mergeCell ref="W2:X2"/>
    <mergeCell ref="Y2:Z2"/>
    <mergeCell ref="A20:I20"/>
    <mergeCell ref="J20:R20"/>
    <mergeCell ref="S20:AA20"/>
    <mergeCell ref="AA2:AA3"/>
    <mergeCell ref="A21:A22"/>
    <mergeCell ref="B21:B22"/>
    <mergeCell ref="C21:D21"/>
    <mergeCell ref="E21:F21"/>
    <mergeCell ref="G21:H21"/>
    <mergeCell ref="AA21:AA22"/>
    <mergeCell ref="J21:J22"/>
    <mergeCell ref="K21:K22"/>
    <mergeCell ref="L21:M21"/>
    <mergeCell ref="N21:O21"/>
    <mergeCell ref="P21:Q21"/>
    <mergeCell ref="P2:Q2"/>
    <mergeCell ref="R21:R22"/>
    <mergeCell ref="A46:I46"/>
    <mergeCell ref="J46:R46"/>
    <mergeCell ref="S46:AA46"/>
    <mergeCell ref="A47:D48"/>
    <mergeCell ref="S21:S22"/>
    <mergeCell ref="T21:T22"/>
    <mergeCell ref="U21:V21"/>
    <mergeCell ref="W21:X21"/>
    <mergeCell ref="Y21:Z21"/>
    <mergeCell ref="I21:I22"/>
  </mergeCells>
  <printOptions horizontalCentered="1" verticalCentered="1"/>
  <pageMargins left="0.19685039370078741" right="0.19685039370078741" top="0.39370078740157483" bottom="0.39370078740157483" header="0" footer="0"/>
  <pageSetup paperSize="9" scale="90" firstPageNumber="57" pageOrder="overThenDown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F162"/>
  <sheetViews>
    <sheetView rightToLeft="1" topLeftCell="C1" workbookViewId="0">
      <selection activeCell="C20" sqref="C20"/>
    </sheetView>
  </sheetViews>
  <sheetFormatPr defaultColWidth="9" defaultRowHeight="18" x14ac:dyDescent="0.5"/>
  <cols>
    <col min="1" max="1" width="8.625" style="22" customWidth="1"/>
    <col min="2" max="2" width="148.125" style="22" hidden="1" customWidth="1"/>
    <col min="3" max="3" width="1" style="22" customWidth="1"/>
    <col min="4" max="4" width="62.875" style="22" customWidth="1"/>
    <col min="5" max="5" width="9.375" style="667" hidden="1" customWidth="1"/>
    <col min="6" max="6" width="14.875" style="667" hidden="1" customWidth="1"/>
    <col min="7" max="9" width="9" style="22"/>
    <col min="10" max="10" width="42.625" style="22" bestFit="1" customWidth="1"/>
    <col min="11" max="16384" width="9" style="22"/>
  </cols>
  <sheetData>
    <row r="1" spans="1:6" ht="39" customHeight="1" x14ac:dyDescent="0.5">
      <c r="A1" s="2842"/>
      <c r="B1" s="2842"/>
      <c r="D1" s="666" t="s">
        <v>591</v>
      </c>
    </row>
    <row r="2" spans="1:6" s="669" customFormat="1" ht="39" customHeight="1" x14ac:dyDescent="0.5">
      <c r="A2" s="668"/>
      <c r="B2" s="668"/>
      <c r="D2" s="670" t="s">
        <v>592</v>
      </c>
      <c r="E2" s="671" t="s">
        <v>593</v>
      </c>
      <c r="F2" s="671" t="s">
        <v>594</v>
      </c>
    </row>
    <row r="3" spans="1:6" s="669" customFormat="1" ht="24.75" x14ac:dyDescent="0.65">
      <c r="A3" s="672">
        <v>1</v>
      </c>
      <c r="B3" s="673" t="s">
        <v>595</v>
      </c>
      <c r="D3" s="674" t="s">
        <v>596</v>
      </c>
      <c r="E3" s="675">
        <v>339.82799999999997</v>
      </c>
      <c r="F3" s="675">
        <v>100.119108</v>
      </c>
    </row>
    <row r="4" spans="1:6" s="669" customFormat="1" ht="24.75" x14ac:dyDescent="0.65">
      <c r="A4" s="672">
        <v>2</v>
      </c>
      <c r="B4" s="673" t="s">
        <v>597</v>
      </c>
      <c r="D4" s="674" t="s">
        <v>598</v>
      </c>
      <c r="E4" s="675">
        <v>261.02</v>
      </c>
      <c r="F4" s="675">
        <v>258.56307299999997</v>
      </c>
    </row>
    <row r="5" spans="1:6" s="669" customFormat="1" ht="24.75" x14ac:dyDescent="0.65">
      <c r="A5" s="672">
        <v>3</v>
      </c>
      <c r="B5" s="673" t="s">
        <v>599</v>
      </c>
      <c r="D5" s="674" t="s">
        <v>600</v>
      </c>
      <c r="E5" s="675">
        <v>211.98700000000002</v>
      </c>
      <c r="F5" s="675">
        <v>31.798049999999996</v>
      </c>
    </row>
    <row r="6" spans="1:6" s="669" customFormat="1" ht="24.75" x14ac:dyDescent="0.65">
      <c r="A6" s="672">
        <v>4</v>
      </c>
      <c r="B6" s="673" t="s">
        <v>601</v>
      </c>
      <c r="D6" s="674" t="s">
        <v>602</v>
      </c>
      <c r="E6" s="675">
        <v>99.582999999999998</v>
      </c>
      <c r="F6" s="675">
        <v>70.491619</v>
      </c>
    </row>
    <row r="7" spans="1:6" s="669" customFormat="1" ht="24.75" x14ac:dyDescent="0.65">
      <c r="A7" s="672">
        <v>5</v>
      </c>
      <c r="B7" s="673" t="s">
        <v>603</v>
      </c>
      <c r="D7" s="674" t="s">
        <v>604</v>
      </c>
      <c r="E7" s="675">
        <v>92.091999999999999</v>
      </c>
      <c r="F7" s="675">
        <v>13.813800000000001</v>
      </c>
    </row>
    <row r="8" spans="1:6" s="669" customFormat="1" ht="24.75" x14ac:dyDescent="0.65">
      <c r="A8" s="672">
        <v>6</v>
      </c>
      <c r="B8" s="673" t="s">
        <v>605</v>
      </c>
      <c r="D8" s="674" t="s">
        <v>606</v>
      </c>
      <c r="E8" s="675">
        <v>86.32</v>
      </c>
      <c r="F8" s="675">
        <v>140.152691</v>
      </c>
    </row>
    <row r="9" spans="1:6" s="669" customFormat="1" ht="24.75" x14ac:dyDescent="0.65">
      <c r="A9" s="672">
        <v>7</v>
      </c>
      <c r="B9" s="673"/>
      <c r="D9" s="674" t="s">
        <v>607</v>
      </c>
      <c r="E9" s="675">
        <v>67.646000000000001</v>
      </c>
      <c r="F9" s="675">
        <v>52.080582999999997</v>
      </c>
    </row>
    <row r="10" spans="1:6" s="669" customFormat="1" ht="24.75" x14ac:dyDescent="0.65">
      <c r="A10" s="672">
        <v>8</v>
      </c>
      <c r="B10" s="673"/>
      <c r="D10" s="674" t="s">
        <v>608</v>
      </c>
      <c r="E10" s="675">
        <v>60.28</v>
      </c>
      <c r="F10" s="675">
        <v>27.747066</v>
      </c>
    </row>
    <row r="11" spans="1:6" s="669" customFormat="1" ht="24.75" x14ac:dyDescent="0.65">
      <c r="A11" s="672">
        <v>9</v>
      </c>
      <c r="B11" s="673"/>
      <c r="D11" s="674" t="s">
        <v>609</v>
      </c>
      <c r="E11" s="675">
        <v>42.451999999999998</v>
      </c>
      <c r="F11" s="675">
        <v>70.912329999999997</v>
      </c>
    </row>
    <row r="12" spans="1:6" s="669" customFormat="1" ht="24.75" x14ac:dyDescent="0.65">
      <c r="A12" s="672">
        <v>10</v>
      </c>
      <c r="B12" s="673"/>
      <c r="D12" s="674" t="s">
        <v>610</v>
      </c>
      <c r="E12" s="675">
        <v>39.674999999999997</v>
      </c>
      <c r="F12" s="675">
        <v>33.880667000000003</v>
      </c>
    </row>
    <row r="13" spans="1:6" s="669" customFormat="1" ht="24.75" x14ac:dyDescent="0.65">
      <c r="A13" s="672">
        <v>11</v>
      </c>
      <c r="B13" s="673"/>
      <c r="D13" s="674" t="s">
        <v>611</v>
      </c>
      <c r="E13" s="675">
        <v>36.152999999999999</v>
      </c>
      <c r="F13" s="675">
        <v>71.928961000000001</v>
      </c>
    </row>
    <row r="14" spans="1:6" s="669" customFormat="1" ht="24.75" x14ac:dyDescent="0.65">
      <c r="A14" s="672">
        <v>12</v>
      </c>
      <c r="B14" s="673"/>
      <c r="D14" s="674" t="s">
        <v>612</v>
      </c>
      <c r="E14" s="675">
        <v>31.689</v>
      </c>
      <c r="F14" s="675">
        <v>30.987881000000002</v>
      </c>
    </row>
    <row r="15" spans="1:6" s="669" customFormat="1" ht="24.75" x14ac:dyDescent="0.65">
      <c r="A15" s="672">
        <v>13</v>
      </c>
      <c r="B15" s="673"/>
      <c r="D15" s="674" t="s">
        <v>613</v>
      </c>
      <c r="E15" s="675">
        <v>30.696999999999999</v>
      </c>
      <c r="F15" s="675">
        <v>30.131896000000005</v>
      </c>
    </row>
    <row r="16" spans="1:6" s="669" customFormat="1" ht="24.75" x14ac:dyDescent="0.65">
      <c r="A16" s="672">
        <v>14</v>
      </c>
      <c r="B16" s="673"/>
      <c r="D16" s="674" t="s">
        <v>614</v>
      </c>
      <c r="E16" s="675">
        <v>28.201000000000001</v>
      </c>
      <c r="F16" s="675">
        <v>34.528289000000001</v>
      </c>
    </row>
    <row r="17" spans="1:6" s="669" customFormat="1" ht="24.75" x14ac:dyDescent="0.65">
      <c r="A17" s="672">
        <v>15</v>
      </c>
      <c r="B17" s="673"/>
      <c r="D17" s="674" t="s">
        <v>615</v>
      </c>
      <c r="E17" s="675">
        <v>27.471</v>
      </c>
      <c r="F17" s="675">
        <v>27.454601000000004</v>
      </c>
    </row>
    <row r="18" spans="1:6" s="669" customFormat="1" ht="24.75" x14ac:dyDescent="0.65">
      <c r="A18" s="672">
        <v>16</v>
      </c>
      <c r="B18" s="673"/>
      <c r="D18" s="674" t="s">
        <v>616</v>
      </c>
      <c r="E18" s="675">
        <v>20.245000000000001</v>
      </c>
      <c r="F18" s="675">
        <v>15.321616000000002</v>
      </c>
    </row>
    <row r="19" spans="1:6" s="669" customFormat="1" ht="24.75" x14ac:dyDescent="0.65">
      <c r="A19" s="672">
        <v>17</v>
      </c>
      <c r="B19" s="673"/>
      <c r="D19" s="674" t="s">
        <v>617</v>
      </c>
      <c r="E19" s="675">
        <v>19.295999999999999</v>
      </c>
      <c r="F19" s="675">
        <v>16.901461999999999</v>
      </c>
    </row>
    <row r="20" spans="1:6" s="669" customFormat="1" ht="24.75" x14ac:dyDescent="0.65">
      <c r="A20" s="672">
        <v>18</v>
      </c>
      <c r="B20" s="673"/>
      <c r="D20" s="674" t="s">
        <v>618</v>
      </c>
      <c r="E20" s="675">
        <v>18.899999999999999</v>
      </c>
      <c r="F20" s="675">
        <v>30.686816</v>
      </c>
    </row>
    <row r="21" spans="1:6" s="669" customFormat="1" ht="24.75" x14ac:dyDescent="0.65">
      <c r="A21" s="672">
        <v>19</v>
      </c>
      <c r="B21" s="673"/>
      <c r="D21" s="674" t="s">
        <v>619</v>
      </c>
      <c r="E21" s="675">
        <v>16.062999999999999</v>
      </c>
      <c r="F21" s="675">
        <v>15.211275000000001</v>
      </c>
    </row>
    <row r="22" spans="1:6" s="669" customFormat="1" ht="24.75" x14ac:dyDescent="0.65">
      <c r="A22" s="672">
        <v>20</v>
      </c>
      <c r="B22" s="673"/>
      <c r="D22" s="674" t="s">
        <v>620</v>
      </c>
      <c r="E22" s="675">
        <v>14.808</v>
      </c>
      <c r="F22" s="675">
        <v>16.148344999999999</v>
      </c>
    </row>
    <row r="23" spans="1:6" s="669" customFormat="1" ht="24.75" x14ac:dyDescent="0.65">
      <c r="A23" s="672">
        <v>21</v>
      </c>
      <c r="B23" s="673"/>
      <c r="D23" s="674" t="s">
        <v>621</v>
      </c>
      <c r="E23" s="675">
        <v>14.512999999999998</v>
      </c>
      <c r="F23" s="675">
        <v>11.949021</v>
      </c>
    </row>
    <row r="24" spans="1:6" s="669" customFormat="1" ht="24.75" x14ac:dyDescent="0.65">
      <c r="A24" s="672">
        <v>22</v>
      </c>
      <c r="B24" s="673"/>
      <c r="D24" s="674" t="s">
        <v>622</v>
      </c>
      <c r="E24" s="675">
        <v>13.457000000000001</v>
      </c>
      <c r="F24" s="675">
        <v>18.478372</v>
      </c>
    </row>
    <row r="25" spans="1:6" s="669" customFormat="1" ht="24.75" x14ac:dyDescent="0.65">
      <c r="A25" s="672">
        <v>23</v>
      </c>
      <c r="B25" s="673"/>
      <c r="D25" s="674" t="s">
        <v>623</v>
      </c>
      <c r="E25" s="675">
        <v>12.343</v>
      </c>
      <c r="F25" s="675">
        <v>22.575965</v>
      </c>
    </row>
    <row r="26" spans="1:6" s="669" customFormat="1" ht="24.75" x14ac:dyDescent="0.65">
      <c r="A26" s="672">
        <v>24</v>
      </c>
      <c r="B26" s="673"/>
      <c r="D26" s="674" t="s">
        <v>624</v>
      </c>
      <c r="E26" s="675">
        <v>10.61</v>
      </c>
      <c r="F26" s="675">
        <v>18.642990999999999</v>
      </c>
    </row>
    <row r="27" spans="1:6" s="669" customFormat="1" ht="24.75" x14ac:dyDescent="0.65">
      <c r="A27" s="672">
        <v>25</v>
      </c>
      <c r="B27" s="673"/>
      <c r="D27" s="674" t="s">
        <v>625</v>
      </c>
      <c r="E27" s="675">
        <v>711.73199999999997</v>
      </c>
      <c r="F27" s="675">
        <v>855.94794000000002</v>
      </c>
    </row>
    <row r="28" spans="1:6" s="669" customFormat="1" ht="24.75" x14ac:dyDescent="0.65">
      <c r="A28" s="672">
        <v>26</v>
      </c>
      <c r="B28" s="673"/>
      <c r="D28" s="674" t="s">
        <v>626</v>
      </c>
      <c r="E28" s="675">
        <v>295.46100000000001</v>
      </c>
      <c r="F28" s="675">
        <v>91.188311999999996</v>
      </c>
    </row>
    <row r="29" spans="1:6" s="669" customFormat="1" ht="24.75" x14ac:dyDescent="0.65">
      <c r="A29" s="672">
        <v>27</v>
      </c>
      <c r="B29" s="673"/>
      <c r="D29" s="674" t="s">
        <v>627</v>
      </c>
      <c r="E29" s="675">
        <v>260.06099999999998</v>
      </c>
      <c r="F29" s="675">
        <v>229.41359700000001</v>
      </c>
    </row>
    <row r="30" spans="1:6" s="669" customFormat="1" ht="24.75" x14ac:dyDescent="0.65">
      <c r="A30" s="672">
        <v>28</v>
      </c>
      <c r="B30" s="673"/>
      <c r="D30" s="674" t="s">
        <v>628</v>
      </c>
      <c r="E30" s="675">
        <v>243.577</v>
      </c>
      <c r="F30" s="675">
        <v>55.855615</v>
      </c>
    </row>
    <row r="31" spans="1:6" s="669" customFormat="1" ht="24.75" x14ac:dyDescent="0.65">
      <c r="A31" s="672">
        <v>29</v>
      </c>
      <c r="B31" s="673"/>
      <c r="D31" s="674" t="s">
        <v>629</v>
      </c>
      <c r="E31" s="675">
        <v>232.23599999999999</v>
      </c>
      <c r="F31" s="675">
        <v>193.51763800000001</v>
      </c>
    </row>
    <row r="32" spans="1:6" s="669" customFormat="1" ht="24.75" x14ac:dyDescent="0.65">
      <c r="A32" s="672">
        <v>30</v>
      </c>
      <c r="B32" s="673"/>
      <c r="D32" s="674" t="s">
        <v>630</v>
      </c>
      <c r="E32" s="675">
        <v>195.46299999999999</v>
      </c>
      <c r="F32" s="675">
        <v>29.31945</v>
      </c>
    </row>
    <row r="33" spans="1:6" s="669" customFormat="1" ht="24.75" x14ac:dyDescent="0.65">
      <c r="A33" s="672">
        <v>31</v>
      </c>
      <c r="B33" s="673"/>
      <c r="D33" s="674" t="s">
        <v>631</v>
      </c>
      <c r="E33" s="675">
        <v>191.374</v>
      </c>
      <c r="F33" s="675">
        <v>34.776867000000003</v>
      </c>
    </row>
    <row r="34" spans="1:6" s="669" customFormat="1" ht="24.75" x14ac:dyDescent="0.65">
      <c r="A34" s="672">
        <v>32</v>
      </c>
      <c r="B34" s="673"/>
      <c r="D34" s="674" t="s">
        <v>632</v>
      </c>
      <c r="E34" s="675">
        <v>166.78</v>
      </c>
      <c r="F34" s="675">
        <v>108.35015199999999</v>
      </c>
    </row>
    <row r="35" spans="1:6" s="669" customFormat="1" ht="24.75" x14ac:dyDescent="0.65">
      <c r="A35" s="672">
        <v>33</v>
      </c>
      <c r="B35" s="673"/>
      <c r="D35" s="674" t="s">
        <v>633</v>
      </c>
      <c r="E35" s="675">
        <v>162.55600000000001</v>
      </c>
      <c r="F35" s="675">
        <v>262.88636500000001</v>
      </c>
    </row>
    <row r="36" spans="1:6" s="669" customFormat="1" ht="24.75" x14ac:dyDescent="0.65">
      <c r="A36" s="672">
        <v>34</v>
      </c>
      <c r="B36" s="673"/>
      <c r="D36" s="674" t="s">
        <v>634</v>
      </c>
      <c r="E36" s="675">
        <v>145.86500000000001</v>
      </c>
      <c r="F36" s="675">
        <v>70.885283000000001</v>
      </c>
    </row>
    <row r="37" spans="1:6" s="669" customFormat="1" ht="24.75" x14ac:dyDescent="0.65">
      <c r="A37" s="672">
        <v>35</v>
      </c>
      <c r="B37" s="673"/>
      <c r="D37" s="674" t="s">
        <v>635</v>
      </c>
      <c r="E37" s="675">
        <v>124.511</v>
      </c>
      <c r="F37" s="675">
        <v>183.04162700000001</v>
      </c>
    </row>
    <row r="38" spans="1:6" s="669" customFormat="1" ht="24.75" x14ac:dyDescent="0.65">
      <c r="A38" s="672">
        <v>36</v>
      </c>
      <c r="B38" s="673"/>
      <c r="D38" s="674" t="s">
        <v>636</v>
      </c>
      <c r="E38" s="675">
        <v>109.081</v>
      </c>
      <c r="F38" s="675">
        <v>17.291630999999999</v>
      </c>
    </row>
    <row r="39" spans="1:6" s="669" customFormat="1" ht="24.75" x14ac:dyDescent="0.65">
      <c r="A39" s="672">
        <v>37</v>
      </c>
      <c r="B39" s="673"/>
      <c r="D39" s="674" t="s">
        <v>637</v>
      </c>
      <c r="E39" s="675">
        <v>100.298</v>
      </c>
      <c r="F39" s="675">
        <v>15.044700000000001</v>
      </c>
    </row>
    <row r="40" spans="1:6" s="669" customFormat="1" ht="24.75" x14ac:dyDescent="0.65">
      <c r="A40" s="672">
        <v>38</v>
      </c>
      <c r="B40" s="673"/>
      <c r="D40" s="674" t="s">
        <v>638</v>
      </c>
      <c r="E40" s="675">
        <v>84.772000000000006</v>
      </c>
      <c r="F40" s="675">
        <v>107.066526</v>
      </c>
    </row>
    <row r="41" spans="1:6" s="669" customFormat="1" ht="24.75" x14ac:dyDescent="0.65">
      <c r="A41" s="672">
        <v>39</v>
      </c>
      <c r="B41" s="673"/>
      <c r="D41" s="674" t="s">
        <v>639</v>
      </c>
      <c r="E41" s="675">
        <v>79.031000000000006</v>
      </c>
      <c r="F41" s="675">
        <v>50.789033000000003</v>
      </c>
    </row>
    <row r="42" spans="1:6" s="669" customFormat="1" ht="24.75" x14ac:dyDescent="0.65">
      <c r="A42" s="672">
        <v>40</v>
      </c>
      <c r="B42" s="673"/>
      <c r="D42" s="674" t="s">
        <v>640</v>
      </c>
      <c r="E42" s="675">
        <v>78.409000000000006</v>
      </c>
      <c r="F42" s="675">
        <v>92.771485999999996</v>
      </c>
    </row>
    <row r="43" spans="1:6" s="669" customFormat="1" ht="24.75" x14ac:dyDescent="0.65">
      <c r="A43" s="672">
        <v>41</v>
      </c>
      <c r="B43" s="673"/>
      <c r="D43" s="674" t="s">
        <v>641</v>
      </c>
      <c r="E43" s="675">
        <v>70.614999999999995</v>
      </c>
      <c r="F43" s="675">
        <v>114.198927</v>
      </c>
    </row>
    <row r="44" spans="1:6" s="669" customFormat="1" ht="24.75" x14ac:dyDescent="0.65">
      <c r="A44" s="672">
        <v>42</v>
      </c>
      <c r="B44" s="673"/>
      <c r="D44" s="674" t="s">
        <v>642</v>
      </c>
      <c r="E44" s="675">
        <v>70.076999999999998</v>
      </c>
      <c r="F44" s="675">
        <v>100.92777</v>
      </c>
    </row>
    <row r="45" spans="1:6" s="669" customFormat="1" ht="24.75" x14ac:dyDescent="0.65">
      <c r="A45" s="672">
        <v>43</v>
      </c>
      <c r="B45" s="673"/>
      <c r="D45" s="674" t="s">
        <v>643</v>
      </c>
      <c r="E45" s="675">
        <v>66.453999999999994</v>
      </c>
      <c r="F45" s="675">
        <v>49.0184</v>
      </c>
    </row>
    <row r="46" spans="1:6" s="669" customFormat="1" ht="24.75" x14ac:dyDescent="0.65">
      <c r="A46" s="672">
        <v>44</v>
      </c>
      <c r="B46" s="673"/>
      <c r="D46" s="674" t="s">
        <v>644</v>
      </c>
      <c r="E46" s="675">
        <v>65.584000000000003</v>
      </c>
      <c r="F46" s="675">
        <v>21.309947999999999</v>
      </c>
    </row>
    <row r="47" spans="1:6" s="669" customFormat="1" ht="24.75" x14ac:dyDescent="0.65">
      <c r="A47" s="672">
        <v>45</v>
      </c>
      <c r="B47" s="673"/>
      <c r="D47" s="674" t="s">
        <v>645</v>
      </c>
      <c r="E47" s="675">
        <v>63.561999999999998</v>
      </c>
      <c r="F47" s="675">
        <v>43.597436999999999</v>
      </c>
    </row>
    <row r="48" spans="1:6" s="669" customFormat="1" ht="24.75" x14ac:dyDescent="0.65">
      <c r="A48" s="672">
        <v>46</v>
      </c>
      <c r="B48" s="673"/>
      <c r="D48" s="674" t="s">
        <v>646</v>
      </c>
      <c r="E48" s="675">
        <v>62.869</v>
      </c>
      <c r="F48" s="675">
        <v>36.187173999999999</v>
      </c>
    </row>
    <row r="49" spans="1:6" s="669" customFormat="1" ht="24.75" x14ac:dyDescent="0.65">
      <c r="A49" s="672">
        <v>47</v>
      </c>
      <c r="B49" s="673"/>
      <c r="D49" s="674" t="s">
        <v>647</v>
      </c>
      <c r="E49" s="675">
        <v>62.731000000000002</v>
      </c>
      <c r="F49" s="675">
        <v>99.008796000000004</v>
      </c>
    </row>
    <row r="50" spans="1:6" s="669" customFormat="1" ht="24.75" x14ac:dyDescent="0.65">
      <c r="A50" s="672">
        <v>48</v>
      </c>
      <c r="B50" s="673"/>
      <c r="D50" s="674" t="s">
        <v>648</v>
      </c>
      <c r="E50" s="675">
        <v>59.832000000000001</v>
      </c>
      <c r="F50" s="675">
        <v>113.919416</v>
      </c>
    </row>
    <row r="51" spans="1:6" s="669" customFormat="1" ht="24.75" x14ac:dyDescent="0.65">
      <c r="A51" s="672">
        <v>49</v>
      </c>
      <c r="B51" s="673"/>
      <c r="D51" s="674" t="s">
        <v>649</v>
      </c>
      <c r="E51" s="675">
        <v>54.476999999999997</v>
      </c>
      <c r="F51" s="675">
        <v>42.03049</v>
      </c>
    </row>
    <row r="52" spans="1:6" s="669" customFormat="1" ht="24.75" x14ac:dyDescent="0.65">
      <c r="A52" s="672">
        <v>50</v>
      </c>
      <c r="B52" s="673"/>
      <c r="D52" s="674" t="s">
        <v>650</v>
      </c>
      <c r="E52" s="675">
        <v>53.838999999999999</v>
      </c>
      <c r="F52" s="675">
        <v>27.023461999999999</v>
      </c>
    </row>
    <row r="53" spans="1:6" s="669" customFormat="1" ht="24.75" x14ac:dyDescent="0.65">
      <c r="A53" s="672">
        <v>51</v>
      </c>
      <c r="B53" s="673"/>
      <c r="D53" s="674" t="s">
        <v>651</v>
      </c>
      <c r="E53" s="675">
        <v>49.311</v>
      </c>
      <c r="F53" s="675">
        <v>53.284061000000001</v>
      </c>
    </row>
    <row r="54" spans="1:6" s="669" customFormat="1" ht="24.75" x14ac:dyDescent="0.65">
      <c r="A54" s="672">
        <v>52</v>
      </c>
      <c r="B54" s="673"/>
      <c r="D54" s="674" t="s">
        <v>652</v>
      </c>
      <c r="E54" s="675">
        <v>41.066000000000003</v>
      </c>
      <c r="F54" s="675">
        <v>52.762335999999998</v>
      </c>
    </row>
    <row r="55" spans="1:6" s="669" customFormat="1" ht="24.75" x14ac:dyDescent="0.65">
      <c r="A55" s="672">
        <v>53</v>
      </c>
      <c r="B55" s="673"/>
      <c r="D55" s="674" t="s">
        <v>653</v>
      </c>
      <c r="E55" s="675">
        <v>39.874000000000002</v>
      </c>
      <c r="F55" s="675">
        <v>19.833568</v>
      </c>
    </row>
    <row r="56" spans="1:6" s="669" customFormat="1" ht="24.75" x14ac:dyDescent="0.65">
      <c r="A56" s="672">
        <v>54</v>
      </c>
      <c r="B56" s="673"/>
      <c r="D56" s="674" t="s">
        <v>654</v>
      </c>
      <c r="E56" s="675">
        <v>37.762999999999998</v>
      </c>
      <c r="F56" s="675">
        <v>56.266212000000003</v>
      </c>
    </row>
    <row r="57" spans="1:6" s="669" customFormat="1" ht="24.75" x14ac:dyDescent="0.65">
      <c r="A57" s="672">
        <v>55</v>
      </c>
      <c r="B57" s="673"/>
      <c r="D57" s="674" t="s">
        <v>655</v>
      </c>
      <c r="E57" s="675">
        <v>32.779000000000003</v>
      </c>
      <c r="F57" s="675">
        <v>33.008617000000001</v>
      </c>
    </row>
    <row r="58" spans="1:6" s="669" customFormat="1" ht="24.75" x14ac:dyDescent="0.65">
      <c r="A58" s="672">
        <v>56</v>
      </c>
      <c r="B58" s="673"/>
      <c r="D58" s="674" t="s">
        <v>656</v>
      </c>
      <c r="E58" s="675">
        <v>30.99</v>
      </c>
      <c r="F58" s="675">
        <v>26.753883999999999</v>
      </c>
    </row>
    <row r="59" spans="1:6" s="669" customFormat="1" ht="24.75" x14ac:dyDescent="0.65">
      <c r="A59" s="672">
        <v>57</v>
      </c>
      <c r="B59" s="673"/>
      <c r="D59" s="674" t="s">
        <v>657</v>
      </c>
      <c r="E59" s="675">
        <v>28.271000000000001</v>
      </c>
      <c r="F59" s="675">
        <v>34.613996</v>
      </c>
    </row>
    <row r="60" spans="1:6" s="669" customFormat="1" ht="24.75" x14ac:dyDescent="0.65">
      <c r="A60" s="672">
        <v>58</v>
      </c>
      <c r="B60" s="673"/>
      <c r="D60" s="674" t="s">
        <v>658</v>
      </c>
      <c r="E60" s="675">
        <v>27.332000000000001</v>
      </c>
      <c r="F60" s="675">
        <v>40.705741000000003</v>
      </c>
    </row>
    <row r="61" spans="1:6" s="669" customFormat="1" ht="24.75" x14ac:dyDescent="0.65">
      <c r="A61" s="672">
        <v>59</v>
      </c>
      <c r="B61" s="673"/>
      <c r="D61" s="674" t="s">
        <v>659</v>
      </c>
      <c r="E61" s="675">
        <v>22.902000000000001</v>
      </c>
      <c r="F61" s="675">
        <v>31.686793000000002</v>
      </c>
    </row>
    <row r="62" spans="1:6" s="669" customFormat="1" ht="24.75" x14ac:dyDescent="0.65">
      <c r="A62" s="672">
        <v>60</v>
      </c>
      <c r="B62" s="673"/>
      <c r="D62" s="674" t="s">
        <v>660</v>
      </c>
      <c r="E62" s="675">
        <v>22.704999999999998</v>
      </c>
      <c r="F62" s="675">
        <v>30.982063</v>
      </c>
    </row>
    <row r="63" spans="1:6" s="669" customFormat="1" ht="24.75" x14ac:dyDescent="0.65">
      <c r="A63" s="672">
        <v>61</v>
      </c>
      <c r="B63" s="673"/>
      <c r="D63" s="674" t="s">
        <v>661</v>
      </c>
      <c r="E63" s="675">
        <v>18.989000000000001</v>
      </c>
      <c r="F63" s="675">
        <v>23.229489000000001</v>
      </c>
    </row>
    <row r="64" spans="1:6" s="669" customFormat="1" ht="24.75" x14ac:dyDescent="0.65">
      <c r="A64" s="672">
        <v>62</v>
      </c>
      <c r="B64" s="673"/>
      <c r="D64" s="674" t="s">
        <v>662</v>
      </c>
      <c r="E64" s="675">
        <v>18.387</v>
      </c>
      <c r="F64" s="675">
        <v>16.961126</v>
      </c>
    </row>
    <row r="65" spans="1:6" s="669" customFormat="1" ht="24.75" x14ac:dyDescent="0.65">
      <c r="A65" s="672">
        <v>63</v>
      </c>
      <c r="B65" s="673"/>
      <c r="D65" s="674" t="s">
        <v>663</v>
      </c>
      <c r="E65" s="675">
        <v>17.492999999999999</v>
      </c>
      <c r="F65" s="675">
        <v>29.212401</v>
      </c>
    </row>
    <row r="66" spans="1:6" s="669" customFormat="1" ht="24.75" x14ac:dyDescent="0.65">
      <c r="A66" s="672">
        <v>64</v>
      </c>
      <c r="B66" s="673"/>
      <c r="D66" s="674" t="s">
        <v>664</v>
      </c>
      <c r="E66" s="675">
        <v>17.001999999999999</v>
      </c>
      <c r="F66" s="675">
        <v>22.887574999999998</v>
      </c>
    </row>
    <row r="67" spans="1:6" s="669" customFormat="1" ht="24.75" x14ac:dyDescent="0.65">
      <c r="A67" s="672">
        <v>65</v>
      </c>
      <c r="B67" s="673"/>
      <c r="D67" s="674" t="s">
        <v>665</v>
      </c>
      <c r="E67" s="675">
        <v>16.742000000000001</v>
      </c>
      <c r="F67" s="675">
        <v>18.970261000000001</v>
      </c>
    </row>
    <row r="68" spans="1:6" s="669" customFormat="1" ht="24.75" x14ac:dyDescent="0.65">
      <c r="A68" s="672">
        <v>66</v>
      </c>
      <c r="B68" s="673"/>
      <c r="D68" s="674" t="s">
        <v>666</v>
      </c>
      <c r="E68" s="675">
        <v>12.702</v>
      </c>
      <c r="F68" s="675">
        <v>25.844607</v>
      </c>
    </row>
    <row r="69" spans="1:6" s="669" customFormat="1" ht="24.75" x14ac:dyDescent="0.65">
      <c r="A69" s="672">
        <v>67</v>
      </c>
      <c r="B69" s="673"/>
      <c r="D69" s="674" t="s">
        <v>667</v>
      </c>
      <c r="E69" s="675">
        <v>11.242000000000001</v>
      </c>
      <c r="F69" s="675">
        <v>14.200085</v>
      </c>
    </row>
    <row r="70" spans="1:6" s="669" customFormat="1" ht="24.75" x14ac:dyDescent="0.65">
      <c r="A70" s="672">
        <v>68</v>
      </c>
      <c r="B70" s="673"/>
      <c r="D70" s="674" t="s">
        <v>668</v>
      </c>
      <c r="E70" s="675">
        <v>10.913</v>
      </c>
      <c r="F70" s="675">
        <v>10.246485</v>
      </c>
    </row>
    <row r="71" spans="1:6" s="669" customFormat="1" ht="26.25" x14ac:dyDescent="0.65">
      <c r="A71" s="2842"/>
      <c r="B71" s="2842"/>
      <c r="D71" s="674"/>
      <c r="E71" s="676"/>
      <c r="F71" s="676"/>
    </row>
    <row r="72" spans="1:6" s="669" customFormat="1" ht="39" customHeight="1" x14ac:dyDescent="0.5">
      <c r="A72" s="668"/>
      <c r="B72" s="668"/>
      <c r="D72" s="677" t="s">
        <v>669</v>
      </c>
      <c r="E72" s="676"/>
      <c r="F72" s="676"/>
    </row>
    <row r="73" spans="1:6" s="669" customFormat="1" ht="39" customHeight="1" x14ac:dyDescent="0.5">
      <c r="A73" s="668"/>
      <c r="B73" s="668"/>
      <c r="D73" s="670" t="s">
        <v>592</v>
      </c>
      <c r="E73" s="678" t="s">
        <v>593</v>
      </c>
      <c r="F73" s="678" t="s">
        <v>594</v>
      </c>
    </row>
    <row r="74" spans="1:6" ht="24.75" x14ac:dyDescent="0.65">
      <c r="A74" s="672">
        <v>1</v>
      </c>
      <c r="B74" s="673" t="s">
        <v>670</v>
      </c>
      <c r="D74" s="674" t="s">
        <v>671</v>
      </c>
      <c r="E74" s="675">
        <v>437.86</v>
      </c>
      <c r="F74" s="675">
        <v>222.87729100000001</v>
      </c>
    </row>
    <row r="75" spans="1:6" ht="24.75" x14ac:dyDescent="0.65">
      <c r="A75" s="672">
        <v>2</v>
      </c>
      <c r="B75" s="673" t="s">
        <v>672</v>
      </c>
      <c r="D75" s="674" t="s">
        <v>673</v>
      </c>
      <c r="E75" s="675">
        <v>208.72300000000001</v>
      </c>
      <c r="F75" s="675">
        <v>283.99123500000002</v>
      </c>
    </row>
    <row r="76" spans="1:6" ht="24.75" x14ac:dyDescent="0.65">
      <c r="A76" s="672">
        <v>3</v>
      </c>
      <c r="B76" s="673" t="s">
        <v>674</v>
      </c>
      <c r="D76" s="674" t="s">
        <v>675</v>
      </c>
      <c r="E76" s="675">
        <v>118.45699999999999</v>
      </c>
      <c r="F76" s="675">
        <v>17.768550000000001</v>
      </c>
    </row>
    <row r="77" spans="1:6" ht="24.75" x14ac:dyDescent="0.65">
      <c r="A77" s="672">
        <v>4</v>
      </c>
      <c r="B77" s="673" t="s">
        <v>676</v>
      </c>
      <c r="D77" s="674" t="s">
        <v>677</v>
      </c>
      <c r="E77" s="675">
        <v>102.70099999999999</v>
      </c>
      <c r="F77" s="675">
        <v>105.26904</v>
      </c>
    </row>
    <row r="78" spans="1:6" ht="24.75" x14ac:dyDescent="0.65">
      <c r="A78" s="672">
        <v>5</v>
      </c>
      <c r="B78" s="673" t="s">
        <v>678</v>
      </c>
      <c r="D78" s="674" t="s">
        <v>679</v>
      </c>
      <c r="E78" s="675">
        <v>101.11499999999999</v>
      </c>
      <c r="F78" s="675">
        <v>147.49482599999999</v>
      </c>
    </row>
    <row r="79" spans="1:6" ht="24.75" x14ac:dyDescent="0.65">
      <c r="A79" s="672">
        <v>6</v>
      </c>
      <c r="B79" s="673" t="s">
        <v>680</v>
      </c>
      <c r="D79" s="674" t="s">
        <v>681</v>
      </c>
      <c r="E79" s="675">
        <v>47.152999999999999</v>
      </c>
      <c r="F79" s="675">
        <v>42.396676999999997</v>
      </c>
    </row>
    <row r="80" spans="1:6" ht="24.75" x14ac:dyDescent="0.65">
      <c r="A80" s="672">
        <v>7</v>
      </c>
      <c r="B80" s="673" t="s">
        <v>682</v>
      </c>
      <c r="D80" s="674" t="s">
        <v>683</v>
      </c>
      <c r="E80" s="675">
        <v>43.851999999999997</v>
      </c>
      <c r="F80" s="675">
        <v>28.589530000000003</v>
      </c>
    </row>
    <row r="81" spans="1:6" ht="24.75" x14ac:dyDescent="0.65">
      <c r="A81" s="672">
        <v>8</v>
      </c>
      <c r="B81" s="673" t="s">
        <v>684</v>
      </c>
      <c r="D81" s="674" t="s">
        <v>685</v>
      </c>
      <c r="E81" s="675">
        <v>26.134</v>
      </c>
      <c r="F81" s="675">
        <v>18.328689000000001</v>
      </c>
    </row>
    <row r="82" spans="1:6" ht="24.75" x14ac:dyDescent="0.65">
      <c r="A82" s="672">
        <v>9</v>
      </c>
      <c r="B82" s="673" t="s">
        <v>686</v>
      </c>
      <c r="D82" s="674" t="s">
        <v>687</v>
      </c>
      <c r="E82" s="675">
        <v>23.178999999999998</v>
      </c>
      <c r="F82" s="675">
        <v>21.137069</v>
      </c>
    </row>
    <row r="83" spans="1:6" ht="24.75" x14ac:dyDescent="0.65">
      <c r="A83" s="672">
        <v>10</v>
      </c>
      <c r="B83" s="673" t="s">
        <v>688</v>
      </c>
      <c r="D83" s="674" t="s">
        <v>689</v>
      </c>
      <c r="E83" s="675">
        <v>22.318999999999999</v>
      </c>
      <c r="F83" s="675">
        <v>15.351277</v>
      </c>
    </row>
    <row r="84" spans="1:6" ht="24.75" x14ac:dyDescent="0.65">
      <c r="A84" s="672">
        <v>11</v>
      </c>
      <c r="B84" s="673" t="s">
        <v>690</v>
      </c>
      <c r="D84" s="674" t="s">
        <v>691</v>
      </c>
      <c r="E84" s="675">
        <v>21.762</v>
      </c>
      <c r="F84" s="675">
        <v>23.741232</v>
      </c>
    </row>
    <row r="85" spans="1:6" ht="24.75" x14ac:dyDescent="0.65">
      <c r="A85" s="672">
        <v>12</v>
      </c>
      <c r="B85" s="673" t="s">
        <v>692</v>
      </c>
      <c r="D85" s="674" t="s">
        <v>693</v>
      </c>
      <c r="E85" s="675">
        <v>20.713000000000001</v>
      </c>
      <c r="F85" s="675">
        <v>33.951734000000002</v>
      </c>
    </row>
    <row r="86" spans="1:6" ht="24.75" x14ac:dyDescent="0.65">
      <c r="A86" s="672">
        <v>13</v>
      </c>
      <c r="B86" s="673" t="s">
        <v>694</v>
      </c>
      <c r="D86" s="674" t="s">
        <v>695</v>
      </c>
      <c r="E86" s="675">
        <v>18.513999999999999</v>
      </c>
      <c r="F86" s="675">
        <v>27.277427000000003</v>
      </c>
    </row>
    <row r="87" spans="1:6" ht="24.75" x14ac:dyDescent="0.65">
      <c r="A87" s="672">
        <v>14</v>
      </c>
      <c r="B87" s="673" t="s">
        <v>696</v>
      </c>
      <c r="D87" s="674" t="s">
        <v>697</v>
      </c>
      <c r="E87" s="675">
        <v>17.82</v>
      </c>
      <c r="F87" s="675">
        <v>26.784904999999998</v>
      </c>
    </row>
    <row r="88" spans="1:6" ht="24.75" x14ac:dyDescent="0.65">
      <c r="A88" s="672">
        <v>15</v>
      </c>
      <c r="B88" s="673" t="s">
        <v>698</v>
      </c>
      <c r="D88" s="674" t="s">
        <v>699</v>
      </c>
      <c r="E88" s="675">
        <v>17.251999999999999</v>
      </c>
      <c r="F88" s="675">
        <v>17.681004000000001</v>
      </c>
    </row>
    <row r="89" spans="1:6" ht="24.75" x14ac:dyDescent="0.65">
      <c r="A89" s="672">
        <v>16</v>
      </c>
      <c r="B89" s="673" t="s">
        <v>700</v>
      </c>
      <c r="D89" s="674" t="s">
        <v>701</v>
      </c>
      <c r="E89" s="675">
        <v>16.654</v>
      </c>
      <c r="F89" s="675">
        <v>29.944143000000004</v>
      </c>
    </row>
    <row r="90" spans="1:6" ht="24.75" x14ac:dyDescent="0.65">
      <c r="A90" s="672">
        <v>17</v>
      </c>
      <c r="B90" s="673" t="s">
        <v>702</v>
      </c>
      <c r="D90" s="679" t="s">
        <v>703</v>
      </c>
      <c r="E90" s="675">
        <v>15.555</v>
      </c>
      <c r="F90" s="675">
        <v>12.345117999999999</v>
      </c>
    </row>
    <row r="91" spans="1:6" ht="24.75" x14ac:dyDescent="0.65">
      <c r="A91" s="672">
        <v>18</v>
      </c>
      <c r="B91" s="673" t="s">
        <v>704</v>
      </c>
      <c r="D91" s="679" t="s">
        <v>705</v>
      </c>
      <c r="E91" s="675">
        <v>14.521000000000001</v>
      </c>
      <c r="F91" s="675">
        <v>20.550003</v>
      </c>
    </row>
    <row r="92" spans="1:6" ht="24.75" x14ac:dyDescent="0.65">
      <c r="A92" s="672">
        <v>19</v>
      </c>
      <c r="B92" s="673" t="s">
        <v>706</v>
      </c>
      <c r="D92" s="679" t="s">
        <v>707</v>
      </c>
      <c r="E92" s="675">
        <v>14.516999999999999</v>
      </c>
      <c r="F92" s="675">
        <v>15.816594000000002</v>
      </c>
    </row>
    <row r="93" spans="1:6" ht="24.75" x14ac:dyDescent="0.65">
      <c r="A93" s="672">
        <v>20</v>
      </c>
      <c r="B93" s="673"/>
      <c r="D93" s="679" t="s">
        <v>708</v>
      </c>
      <c r="E93" s="675">
        <v>14.507999999999999</v>
      </c>
      <c r="F93" s="675">
        <v>20.861836</v>
      </c>
    </row>
    <row r="94" spans="1:6" ht="24.75" x14ac:dyDescent="0.65">
      <c r="A94" s="672">
        <v>21</v>
      </c>
      <c r="B94" s="673"/>
      <c r="D94" s="679" t="s">
        <v>709</v>
      </c>
      <c r="E94" s="675">
        <v>14.465</v>
      </c>
      <c r="F94" s="675">
        <v>23.485966999999999</v>
      </c>
    </row>
    <row r="95" spans="1:6" ht="24.75" x14ac:dyDescent="0.65">
      <c r="A95" s="672">
        <v>22</v>
      </c>
      <c r="B95" s="673"/>
      <c r="D95" s="679" t="s">
        <v>710</v>
      </c>
      <c r="E95" s="675">
        <v>13.840999999999998</v>
      </c>
      <c r="F95" s="675">
        <v>18.929905000000002</v>
      </c>
    </row>
    <row r="96" spans="1:6" ht="24.75" x14ac:dyDescent="0.65">
      <c r="A96" s="672">
        <v>23</v>
      </c>
      <c r="B96" s="673"/>
      <c r="D96" s="679" t="s">
        <v>711</v>
      </c>
      <c r="E96" s="675">
        <v>12.347000000000001</v>
      </c>
      <c r="F96" s="675">
        <v>19.504073999999999</v>
      </c>
    </row>
    <row r="97" spans="1:6" ht="24.75" x14ac:dyDescent="0.65">
      <c r="A97" s="672">
        <v>24</v>
      </c>
      <c r="B97" s="673"/>
      <c r="D97" s="679" t="s">
        <v>712</v>
      </c>
      <c r="E97" s="675">
        <v>11.35</v>
      </c>
      <c r="F97" s="675">
        <v>15.703654999999999</v>
      </c>
    </row>
    <row r="98" spans="1:6" ht="24.75" x14ac:dyDescent="0.65">
      <c r="A98" s="672">
        <v>25</v>
      </c>
      <c r="B98" s="673"/>
      <c r="D98" s="679" t="s">
        <v>713</v>
      </c>
      <c r="E98" s="675">
        <v>750.77300000000002</v>
      </c>
      <c r="F98" s="675">
        <v>380.53830599999998</v>
      </c>
    </row>
    <row r="99" spans="1:6" ht="24.75" x14ac:dyDescent="0.65">
      <c r="A99" s="672">
        <v>26</v>
      </c>
      <c r="B99" s="673"/>
      <c r="D99" s="679" t="s">
        <v>714</v>
      </c>
      <c r="E99" s="675">
        <v>719.90899999999999</v>
      </c>
      <c r="F99" s="675">
        <v>362.95147900000001</v>
      </c>
    </row>
    <row r="100" spans="1:6" ht="24.75" x14ac:dyDescent="0.65">
      <c r="A100" s="672">
        <v>27</v>
      </c>
      <c r="B100" s="673"/>
      <c r="D100" s="679" t="s">
        <v>715</v>
      </c>
      <c r="E100" s="675">
        <v>502.541</v>
      </c>
      <c r="F100" s="675">
        <v>396.58053100000001</v>
      </c>
    </row>
    <row r="101" spans="1:6" ht="24.75" x14ac:dyDescent="0.65">
      <c r="A101" s="672">
        <v>28</v>
      </c>
      <c r="B101" s="673"/>
      <c r="D101" s="679" t="s">
        <v>716</v>
      </c>
      <c r="E101" s="675">
        <v>443.31599999999997</v>
      </c>
      <c r="F101" s="675">
        <v>467.24233700000002</v>
      </c>
    </row>
    <row r="102" spans="1:6" ht="24.75" x14ac:dyDescent="0.65">
      <c r="A102" s="672">
        <v>29</v>
      </c>
      <c r="B102" s="673"/>
      <c r="D102" s="679" t="s">
        <v>717</v>
      </c>
      <c r="E102" s="675">
        <v>358.94499999999999</v>
      </c>
      <c r="F102" s="675">
        <v>132.43490700000001</v>
      </c>
    </row>
    <row r="103" spans="1:6" ht="24.75" x14ac:dyDescent="0.65">
      <c r="A103" s="672">
        <v>30</v>
      </c>
      <c r="B103" s="673"/>
      <c r="D103" s="679" t="s">
        <v>718</v>
      </c>
      <c r="E103" s="675">
        <v>307.85899999999998</v>
      </c>
      <c r="F103" s="675">
        <v>46.178849999999997</v>
      </c>
    </row>
    <row r="104" spans="1:6" ht="24.75" x14ac:dyDescent="0.65">
      <c r="A104" s="672">
        <v>31</v>
      </c>
      <c r="B104" s="673"/>
      <c r="D104" s="679" t="s">
        <v>719</v>
      </c>
      <c r="E104" s="675">
        <v>235.411</v>
      </c>
      <c r="F104" s="675">
        <v>74.88297</v>
      </c>
    </row>
    <row r="105" spans="1:6" ht="24.75" x14ac:dyDescent="0.65">
      <c r="A105" s="672">
        <v>32</v>
      </c>
      <c r="B105" s="673"/>
      <c r="D105" s="679" t="s">
        <v>720</v>
      </c>
      <c r="E105" s="675">
        <v>209.20599999999999</v>
      </c>
      <c r="F105" s="675">
        <v>253.296266</v>
      </c>
    </row>
    <row r="106" spans="1:6" ht="24.75" x14ac:dyDescent="0.65">
      <c r="A106" s="672">
        <v>33</v>
      </c>
      <c r="B106" s="673"/>
      <c r="D106" s="679" t="s">
        <v>721</v>
      </c>
      <c r="E106" s="675">
        <v>208.315</v>
      </c>
      <c r="F106" s="675">
        <v>31.247250000000001</v>
      </c>
    </row>
    <row r="107" spans="1:6" ht="24.75" x14ac:dyDescent="0.65">
      <c r="A107" s="672">
        <v>34</v>
      </c>
      <c r="B107" s="673"/>
      <c r="D107" s="679" t="s">
        <v>722</v>
      </c>
      <c r="E107" s="675">
        <v>197.74700000000001</v>
      </c>
      <c r="F107" s="675">
        <v>121.445532</v>
      </c>
    </row>
    <row r="108" spans="1:6" ht="24.75" x14ac:dyDescent="0.65">
      <c r="A108" s="672">
        <v>35</v>
      </c>
      <c r="B108" s="673"/>
      <c r="D108" s="679" t="s">
        <v>723</v>
      </c>
      <c r="E108" s="675">
        <v>169.78200000000001</v>
      </c>
      <c r="F108" s="675">
        <v>84.867570999999998</v>
      </c>
    </row>
    <row r="109" spans="1:6" ht="24.75" x14ac:dyDescent="0.65">
      <c r="A109" s="672">
        <v>36</v>
      </c>
      <c r="B109" s="673"/>
      <c r="D109" s="679" t="s">
        <v>724</v>
      </c>
      <c r="E109" s="675">
        <v>164.851</v>
      </c>
      <c r="F109" s="675">
        <v>24.727650000000001</v>
      </c>
    </row>
    <row r="110" spans="1:6" ht="24.75" x14ac:dyDescent="0.65">
      <c r="A110" s="672">
        <v>37</v>
      </c>
      <c r="B110" s="673"/>
      <c r="D110" s="679" t="s">
        <v>725</v>
      </c>
      <c r="E110" s="675">
        <v>145.976</v>
      </c>
      <c r="F110" s="675">
        <v>133.46012300000001</v>
      </c>
    </row>
    <row r="111" spans="1:6" ht="24.75" x14ac:dyDescent="0.65">
      <c r="A111" s="672">
        <v>38</v>
      </c>
      <c r="B111" s="673"/>
      <c r="D111" s="679" t="s">
        <v>726</v>
      </c>
      <c r="E111" s="675">
        <v>103.176</v>
      </c>
      <c r="F111" s="675">
        <v>42.292876</v>
      </c>
    </row>
    <row r="112" spans="1:6" ht="24.75" x14ac:dyDescent="0.65">
      <c r="A112" s="672">
        <v>39</v>
      </c>
      <c r="B112" s="673"/>
      <c r="D112" s="679" t="s">
        <v>727</v>
      </c>
      <c r="E112" s="675">
        <v>89.792000000000002</v>
      </c>
      <c r="F112" s="675">
        <v>13.4688</v>
      </c>
    </row>
    <row r="113" spans="1:6" ht="24.75" x14ac:dyDescent="0.65">
      <c r="A113" s="672">
        <v>40</v>
      </c>
      <c r="B113" s="673"/>
      <c r="D113" s="679" t="s">
        <v>728</v>
      </c>
      <c r="E113" s="675">
        <v>85.501999999999995</v>
      </c>
      <c r="F113" s="675">
        <v>93.897653000000005</v>
      </c>
    </row>
    <row r="114" spans="1:6" ht="24.75" x14ac:dyDescent="0.65">
      <c r="A114" s="672">
        <v>41</v>
      </c>
      <c r="B114" s="673"/>
      <c r="D114" s="679" t="s">
        <v>729</v>
      </c>
      <c r="E114" s="675">
        <v>74.39</v>
      </c>
      <c r="F114" s="675">
        <v>42.674408999999997</v>
      </c>
    </row>
    <row r="115" spans="1:6" ht="24.75" x14ac:dyDescent="0.65">
      <c r="A115" s="672">
        <v>42</v>
      </c>
      <c r="B115" s="673"/>
      <c r="D115" s="679" t="s">
        <v>730</v>
      </c>
      <c r="E115" s="675">
        <v>70.441999999999993</v>
      </c>
      <c r="F115" s="675">
        <v>68.584657000000007</v>
      </c>
    </row>
    <row r="116" spans="1:6" ht="24.75" x14ac:dyDescent="0.65">
      <c r="A116" s="672">
        <v>43</v>
      </c>
      <c r="B116" s="673"/>
      <c r="D116" s="679" t="s">
        <v>731</v>
      </c>
      <c r="E116" s="675">
        <v>68.408000000000001</v>
      </c>
      <c r="F116" s="675">
        <v>99.785653999999994</v>
      </c>
    </row>
    <row r="117" spans="1:6" ht="24.75" x14ac:dyDescent="0.65">
      <c r="A117" s="672">
        <v>44</v>
      </c>
      <c r="B117" s="673"/>
      <c r="D117" s="679" t="s">
        <v>732</v>
      </c>
      <c r="E117" s="675">
        <v>65.013000000000005</v>
      </c>
      <c r="F117" s="675">
        <v>65.073590999999993</v>
      </c>
    </row>
    <row r="118" spans="1:6" ht="24.75" x14ac:dyDescent="0.65">
      <c r="A118" s="672">
        <v>45</v>
      </c>
      <c r="B118" s="673"/>
      <c r="D118" s="679" t="s">
        <v>733</v>
      </c>
      <c r="E118" s="675">
        <v>64.906000000000006</v>
      </c>
      <c r="F118" s="675">
        <v>74.753354000000002</v>
      </c>
    </row>
    <row r="119" spans="1:6" ht="24.75" x14ac:dyDescent="0.65">
      <c r="A119" s="672">
        <v>46</v>
      </c>
      <c r="B119" s="673"/>
      <c r="D119" s="679" t="s">
        <v>734</v>
      </c>
      <c r="E119" s="675">
        <v>63.881</v>
      </c>
      <c r="F119" s="675">
        <v>14.315545999999999</v>
      </c>
    </row>
    <row r="120" spans="1:6" ht="24.75" x14ac:dyDescent="0.65">
      <c r="A120" s="672">
        <v>47</v>
      </c>
      <c r="B120" s="673"/>
      <c r="D120" s="679" t="s">
        <v>735</v>
      </c>
      <c r="E120" s="675">
        <v>62.402999999999999</v>
      </c>
      <c r="F120" s="675">
        <v>100.91844</v>
      </c>
    </row>
    <row r="121" spans="1:6" ht="24.75" x14ac:dyDescent="0.65">
      <c r="A121" s="672">
        <v>48</v>
      </c>
      <c r="B121" s="673"/>
      <c r="D121" s="679" t="s">
        <v>736</v>
      </c>
      <c r="E121" s="675">
        <v>62.198999999999998</v>
      </c>
      <c r="F121" s="675">
        <v>87.200136000000001</v>
      </c>
    </row>
    <row r="122" spans="1:6" ht="24.75" x14ac:dyDescent="0.65">
      <c r="A122" s="672">
        <v>49</v>
      </c>
      <c r="B122" s="673"/>
      <c r="D122" s="679" t="s">
        <v>737</v>
      </c>
      <c r="E122" s="675">
        <v>58.802999999999997</v>
      </c>
      <c r="F122" s="675">
        <v>120.101956</v>
      </c>
    </row>
    <row r="123" spans="1:6" ht="24.75" x14ac:dyDescent="0.65">
      <c r="A123" s="672">
        <v>50</v>
      </c>
      <c r="B123" s="673"/>
      <c r="D123" s="679" t="s">
        <v>738</v>
      </c>
      <c r="E123" s="675">
        <v>58.63</v>
      </c>
      <c r="F123" s="675">
        <v>35.764299999999999</v>
      </c>
    </row>
    <row r="124" spans="1:6" ht="24.75" x14ac:dyDescent="0.65">
      <c r="A124" s="672">
        <v>51</v>
      </c>
      <c r="B124" s="673"/>
      <c r="D124" s="679" t="s">
        <v>739</v>
      </c>
      <c r="E124" s="675">
        <v>54.366999999999997</v>
      </c>
      <c r="F124" s="675">
        <v>34.565356000000001</v>
      </c>
    </row>
    <row r="125" spans="1:6" ht="24.75" x14ac:dyDescent="0.65">
      <c r="A125" s="672">
        <v>52</v>
      </c>
      <c r="B125" s="673"/>
      <c r="D125" s="679" t="s">
        <v>740</v>
      </c>
      <c r="E125" s="675">
        <v>51.773000000000003</v>
      </c>
      <c r="F125" s="675">
        <v>54.387695999999998</v>
      </c>
    </row>
    <row r="126" spans="1:6" ht="24.75" x14ac:dyDescent="0.65">
      <c r="A126" s="672">
        <v>53</v>
      </c>
      <c r="B126" s="673"/>
      <c r="D126" s="679" t="s">
        <v>741</v>
      </c>
      <c r="E126" s="675">
        <v>50.280999999999999</v>
      </c>
      <c r="F126" s="675">
        <v>44.531719000000002</v>
      </c>
    </row>
    <row r="127" spans="1:6" ht="24.75" x14ac:dyDescent="0.65">
      <c r="A127" s="672">
        <v>54</v>
      </c>
      <c r="B127" s="673"/>
      <c r="D127" s="679" t="s">
        <v>742</v>
      </c>
      <c r="E127" s="675">
        <v>48.795999999999999</v>
      </c>
      <c r="F127" s="675">
        <v>67.540591000000006</v>
      </c>
    </row>
    <row r="128" spans="1:6" ht="24.75" x14ac:dyDescent="0.65">
      <c r="A128" s="672">
        <v>55</v>
      </c>
      <c r="B128" s="673"/>
      <c r="D128" s="679" t="s">
        <v>743</v>
      </c>
      <c r="E128" s="675">
        <v>47.731999999999999</v>
      </c>
      <c r="F128" s="675">
        <v>84.609549000000001</v>
      </c>
    </row>
    <row r="129" spans="1:6" ht="24.75" x14ac:dyDescent="0.65">
      <c r="A129" s="672">
        <v>56</v>
      </c>
      <c r="B129" s="673"/>
      <c r="D129" s="679" t="s">
        <v>744</v>
      </c>
      <c r="E129" s="675">
        <v>47.225000000000001</v>
      </c>
      <c r="F129" s="675">
        <v>56.236127000000003</v>
      </c>
    </row>
    <row r="130" spans="1:6" ht="24.75" x14ac:dyDescent="0.65">
      <c r="A130" s="672">
        <v>57</v>
      </c>
      <c r="B130" s="673"/>
      <c r="D130" s="679" t="s">
        <v>745</v>
      </c>
      <c r="E130" s="675">
        <v>41.347000000000001</v>
      </c>
      <c r="F130" s="675">
        <v>64.296732000000006</v>
      </c>
    </row>
    <row r="131" spans="1:6" ht="24.75" x14ac:dyDescent="0.65">
      <c r="A131" s="672">
        <v>58</v>
      </c>
      <c r="B131" s="673"/>
      <c r="D131" s="679" t="s">
        <v>746</v>
      </c>
      <c r="E131" s="675">
        <v>39.052999999999997</v>
      </c>
      <c r="F131" s="675">
        <v>39.519683000000001</v>
      </c>
    </row>
    <row r="132" spans="1:6" ht="24.75" x14ac:dyDescent="0.65">
      <c r="A132" s="672">
        <v>59</v>
      </c>
      <c r="B132" s="673"/>
      <c r="D132" s="679" t="s">
        <v>747</v>
      </c>
      <c r="E132" s="675">
        <v>38.384999999999998</v>
      </c>
      <c r="F132" s="675">
        <v>51.673197000000002</v>
      </c>
    </row>
    <row r="133" spans="1:6" ht="24.75" x14ac:dyDescent="0.65">
      <c r="A133" s="672">
        <v>60</v>
      </c>
      <c r="B133" s="673"/>
      <c r="D133" s="679" t="s">
        <v>748</v>
      </c>
      <c r="E133" s="675">
        <v>37.405999999999999</v>
      </c>
      <c r="F133" s="675">
        <v>11.555462</v>
      </c>
    </row>
    <row r="134" spans="1:6" ht="24.75" x14ac:dyDescent="0.65">
      <c r="A134" s="672">
        <v>61</v>
      </c>
      <c r="B134" s="673"/>
      <c r="D134" s="679" t="s">
        <v>749</v>
      </c>
      <c r="E134" s="675">
        <v>34.526000000000003</v>
      </c>
      <c r="F134" s="675">
        <v>52.323394</v>
      </c>
    </row>
    <row r="135" spans="1:6" ht="24.75" x14ac:dyDescent="0.65">
      <c r="A135" s="672">
        <v>62</v>
      </c>
      <c r="B135" s="673"/>
      <c r="D135" s="679" t="s">
        <v>750</v>
      </c>
      <c r="E135" s="675">
        <v>33.582000000000001</v>
      </c>
      <c r="F135" s="675">
        <v>16.739854999999999</v>
      </c>
    </row>
    <row r="136" spans="1:6" ht="24.75" x14ac:dyDescent="0.65">
      <c r="A136" s="672">
        <v>63</v>
      </c>
      <c r="B136" s="673"/>
      <c r="D136" s="679" t="s">
        <v>751</v>
      </c>
      <c r="E136" s="675">
        <v>33.271999999999998</v>
      </c>
      <c r="F136" s="675">
        <v>44.901462000000002</v>
      </c>
    </row>
    <row r="137" spans="1:6" ht="24.75" x14ac:dyDescent="0.65">
      <c r="A137" s="672">
        <v>64</v>
      </c>
      <c r="B137" s="673"/>
      <c r="D137" s="679" t="s">
        <v>752</v>
      </c>
      <c r="E137" s="675">
        <v>32.79</v>
      </c>
      <c r="F137" s="675">
        <v>19.547104000000001</v>
      </c>
    </row>
    <row r="138" spans="1:6" ht="24.75" x14ac:dyDescent="0.65">
      <c r="A138" s="672">
        <v>65</v>
      </c>
      <c r="B138" s="673"/>
      <c r="D138" s="679" t="s">
        <v>753</v>
      </c>
      <c r="E138" s="675">
        <v>32.625999999999998</v>
      </c>
      <c r="F138" s="675">
        <v>14.844998</v>
      </c>
    </row>
    <row r="139" spans="1:6" ht="24.75" x14ac:dyDescent="0.65">
      <c r="A139" s="672">
        <v>66</v>
      </c>
      <c r="B139" s="673"/>
      <c r="D139" s="679" t="s">
        <v>754</v>
      </c>
      <c r="E139" s="675">
        <v>31.856999999999999</v>
      </c>
      <c r="F139" s="675">
        <v>32.532784999999997</v>
      </c>
    </row>
    <row r="140" spans="1:6" ht="24.75" x14ac:dyDescent="0.65">
      <c r="A140" s="672">
        <v>67</v>
      </c>
      <c r="B140" s="673"/>
      <c r="D140" s="679" t="s">
        <v>755</v>
      </c>
      <c r="E140" s="675">
        <v>31.495999999999999</v>
      </c>
      <c r="F140" s="675">
        <v>40.490721999999998</v>
      </c>
    </row>
    <row r="141" spans="1:6" ht="24.75" x14ac:dyDescent="0.65">
      <c r="A141" s="672">
        <v>68</v>
      </c>
      <c r="B141" s="673"/>
      <c r="D141" s="679" t="s">
        <v>756</v>
      </c>
      <c r="E141" s="675">
        <v>27.821999999999999</v>
      </c>
      <c r="F141" s="675">
        <v>9.9928279999999994</v>
      </c>
    </row>
    <row r="142" spans="1:6" ht="24.75" x14ac:dyDescent="0.65">
      <c r="A142" s="672">
        <v>69</v>
      </c>
      <c r="B142" s="673"/>
      <c r="D142" s="679" t="s">
        <v>757</v>
      </c>
      <c r="E142" s="675">
        <v>25.512</v>
      </c>
      <c r="F142" s="675">
        <v>35.729402999999998</v>
      </c>
    </row>
    <row r="143" spans="1:6" ht="24.75" x14ac:dyDescent="0.65">
      <c r="A143" s="672">
        <v>70</v>
      </c>
      <c r="B143" s="673"/>
      <c r="D143" s="679" t="s">
        <v>758</v>
      </c>
      <c r="E143" s="675">
        <v>25.044</v>
      </c>
      <c r="F143" s="675">
        <v>19.451259</v>
      </c>
    </row>
    <row r="144" spans="1:6" ht="24.75" x14ac:dyDescent="0.65">
      <c r="A144" s="672">
        <v>71</v>
      </c>
      <c r="B144" s="673"/>
      <c r="D144" s="679" t="s">
        <v>759</v>
      </c>
      <c r="E144" s="675">
        <v>24.085000000000001</v>
      </c>
      <c r="F144" s="675">
        <v>19.444856000000001</v>
      </c>
    </row>
    <row r="145" spans="1:6" ht="24.75" x14ac:dyDescent="0.65">
      <c r="A145" s="672">
        <v>72</v>
      </c>
      <c r="B145" s="673"/>
      <c r="D145" s="679" t="s">
        <v>760</v>
      </c>
      <c r="E145" s="675">
        <v>23.759</v>
      </c>
      <c r="F145" s="675">
        <v>16.611951000000001</v>
      </c>
    </row>
    <row r="146" spans="1:6" ht="24.75" x14ac:dyDescent="0.65">
      <c r="A146" s="672">
        <v>73</v>
      </c>
      <c r="B146" s="673"/>
      <c r="D146" s="679" t="s">
        <v>761</v>
      </c>
      <c r="E146" s="675">
        <v>22.335999999999999</v>
      </c>
      <c r="F146" s="675">
        <v>13.834676999999999</v>
      </c>
    </row>
    <row r="147" spans="1:6" ht="24.75" x14ac:dyDescent="0.65">
      <c r="A147" s="672">
        <v>74</v>
      </c>
      <c r="B147" s="673"/>
      <c r="D147" s="679" t="s">
        <v>762</v>
      </c>
      <c r="E147" s="675">
        <v>20.035</v>
      </c>
      <c r="F147" s="675">
        <v>32.400700000000001</v>
      </c>
    </row>
    <row r="148" spans="1:6" ht="24.75" x14ac:dyDescent="0.65">
      <c r="A148" s="672">
        <v>75</v>
      </c>
      <c r="B148" s="673"/>
      <c r="D148" s="679" t="s">
        <v>763</v>
      </c>
      <c r="E148" s="675">
        <v>19.181000000000001</v>
      </c>
      <c r="F148" s="675">
        <v>31.019608999999999</v>
      </c>
    </row>
    <row r="149" spans="1:6" ht="24.75" x14ac:dyDescent="0.65">
      <c r="A149" s="672">
        <v>76</v>
      </c>
      <c r="B149" s="673"/>
      <c r="D149" s="679" t="s">
        <v>764</v>
      </c>
      <c r="E149" s="675">
        <v>17.167999999999999</v>
      </c>
      <c r="F149" s="675">
        <v>26.147618999999999</v>
      </c>
    </row>
    <row r="150" spans="1:6" ht="24.75" x14ac:dyDescent="0.65">
      <c r="A150" s="672">
        <v>77</v>
      </c>
      <c r="B150" s="673"/>
      <c r="D150" s="679" t="s">
        <v>765</v>
      </c>
      <c r="E150" s="675">
        <v>16.797999999999998</v>
      </c>
      <c r="F150" s="675">
        <v>26.656092999999998</v>
      </c>
    </row>
    <row r="151" spans="1:6" ht="24.75" x14ac:dyDescent="0.65">
      <c r="A151" s="672">
        <v>78</v>
      </c>
      <c r="B151" s="673"/>
      <c r="D151" s="679" t="s">
        <v>766</v>
      </c>
      <c r="E151" s="675">
        <v>16.745999999999999</v>
      </c>
      <c r="F151" s="675">
        <v>17.101602</v>
      </c>
    </row>
    <row r="152" spans="1:6" ht="24.75" x14ac:dyDescent="0.65">
      <c r="A152" s="672">
        <v>79</v>
      </c>
      <c r="B152" s="673"/>
      <c r="D152" s="679" t="s">
        <v>767</v>
      </c>
      <c r="E152" s="675">
        <v>15.808999999999999</v>
      </c>
      <c r="F152" s="675">
        <v>25.911158</v>
      </c>
    </row>
    <row r="153" spans="1:6" ht="24.75" x14ac:dyDescent="0.65">
      <c r="A153" s="672">
        <v>80</v>
      </c>
      <c r="B153" s="673"/>
      <c r="D153" s="679" t="s">
        <v>768</v>
      </c>
      <c r="E153" s="675">
        <v>14.691000000000001</v>
      </c>
      <c r="F153" s="675">
        <v>14.549026</v>
      </c>
    </row>
    <row r="154" spans="1:6" ht="24.75" x14ac:dyDescent="0.65">
      <c r="A154" s="672">
        <v>81</v>
      </c>
      <c r="B154" s="673"/>
      <c r="D154" s="679" t="s">
        <v>769</v>
      </c>
      <c r="E154" s="675">
        <v>14.212</v>
      </c>
      <c r="F154" s="675">
        <v>11.014825999999999</v>
      </c>
    </row>
    <row r="155" spans="1:6" ht="24.75" x14ac:dyDescent="0.65">
      <c r="A155" s="672">
        <v>82</v>
      </c>
      <c r="B155" s="673"/>
      <c r="D155" s="679" t="s">
        <v>770</v>
      </c>
      <c r="E155" s="675">
        <v>13.71</v>
      </c>
      <c r="F155" s="675">
        <v>11.873943000000001</v>
      </c>
    </row>
    <row r="156" spans="1:6" ht="24.75" x14ac:dyDescent="0.65">
      <c r="A156" s="672">
        <v>83</v>
      </c>
      <c r="B156" s="673"/>
      <c r="D156" s="679" t="s">
        <v>771</v>
      </c>
      <c r="E156" s="675">
        <v>13.66</v>
      </c>
      <c r="F156" s="675">
        <v>19.035509999999999</v>
      </c>
    </row>
    <row r="157" spans="1:6" ht="24.75" x14ac:dyDescent="0.65">
      <c r="A157" s="672">
        <v>84</v>
      </c>
      <c r="B157" s="673"/>
      <c r="D157" s="679" t="s">
        <v>772</v>
      </c>
      <c r="E157" s="675">
        <v>13.327999999999999</v>
      </c>
      <c r="F157" s="675">
        <v>12.252843</v>
      </c>
    </row>
    <row r="158" spans="1:6" ht="24.75" x14ac:dyDescent="0.65">
      <c r="A158" s="672">
        <v>85</v>
      </c>
      <c r="B158" s="673"/>
      <c r="D158" s="679" t="s">
        <v>773</v>
      </c>
      <c r="E158" s="675">
        <v>12.302</v>
      </c>
      <c r="F158" s="675">
        <v>25.876265</v>
      </c>
    </row>
    <row r="159" spans="1:6" ht="24.75" x14ac:dyDescent="0.65">
      <c r="A159" s="672">
        <v>86</v>
      </c>
      <c r="B159" s="673"/>
      <c r="D159" s="679" t="s">
        <v>774</v>
      </c>
      <c r="E159" s="675">
        <v>12.013999999999999</v>
      </c>
      <c r="F159" s="675">
        <v>10.247354</v>
      </c>
    </row>
    <row r="160" spans="1:6" ht="24.75" x14ac:dyDescent="0.65">
      <c r="A160" s="672">
        <v>87</v>
      </c>
      <c r="B160" s="673"/>
      <c r="D160" s="679" t="s">
        <v>775</v>
      </c>
      <c r="E160" s="675">
        <v>11.959</v>
      </c>
      <c r="F160" s="675">
        <v>10.357438999999999</v>
      </c>
    </row>
    <row r="161" spans="1:6" ht="24.75" x14ac:dyDescent="0.65">
      <c r="A161" s="672">
        <v>88</v>
      </c>
      <c r="B161" s="673"/>
      <c r="D161" s="679" t="s">
        <v>776</v>
      </c>
      <c r="E161" s="675">
        <v>11.465</v>
      </c>
      <c r="F161" s="675">
        <v>18.541255</v>
      </c>
    </row>
    <row r="162" spans="1:6" ht="24.75" x14ac:dyDescent="0.65">
      <c r="A162" s="672">
        <v>89</v>
      </c>
      <c r="B162" s="673"/>
      <c r="D162" s="679" t="s">
        <v>777</v>
      </c>
      <c r="E162" s="675">
        <v>10.589</v>
      </c>
      <c r="F162" s="675">
        <v>14.164058000000001</v>
      </c>
    </row>
  </sheetData>
  <autoFilter ref="D2:F70" xr:uid="{00000000-0009-0000-0000-000017000000}"/>
  <mergeCells count="2">
    <mergeCell ref="A1:B1"/>
    <mergeCell ref="A71:B71"/>
  </mergeCells>
  <pageMargins left="0.70866141732283472" right="0.70866141732283472" top="1.3385826771653544" bottom="0.74803149606299213" header="0.31496062992125984" footer="0.31496062992125984"/>
  <pageSetup paperSize="9" scale="8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3"/>
  </sheetPr>
  <dimension ref="A1:W33"/>
  <sheetViews>
    <sheetView rightToLeft="1" zoomScale="70" zoomScaleNormal="70" zoomScaleSheetLayoutView="70" workbookViewId="0">
      <selection sqref="A1:W1"/>
    </sheetView>
  </sheetViews>
  <sheetFormatPr defaultColWidth="10.625" defaultRowHeight="60.75" customHeight="1" x14ac:dyDescent="0.2"/>
  <cols>
    <col min="1" max="1" width="11.625" style="140" customWidth="1"/>
    <col min="2" max="2" width="14.75" style="140" customWidth="1"/>
    <col min="3" max="3" width="11.375" style="140" bestFit="1" customWidth="1"/>
    <col min="4" max="4" width="9.625" style="140" bestFit="1" customWidth="1"/>
    <col min="5" max="5" width="12.5" style="140" customWidth="1"/>
    <col min="6" max="6" width="11.375" style="140" bestFit="1" customWidth="1"/>
    <col min="7" max="8" width="9.5" style="140" bestFit="1" customWidth="1"/>
    <col min="9" max="9" width="12.875" style="140" customWidth="1"/>
    <col min="10" max="10" width="11.5" style="140" bestFit="1" customWidth="1"/>
    <col min="11" max="11" width="14" style="140" customWidth="1"/>
    <col min="12" max="12" width="11.25" style="140" bestFit="1" customWidth="1"/>
    <col min="13" max="13" width="11.75" style="140" customWidth="1"/>
    <col min="14" max="14" width="9.5" style="140" bestFit="1" customWidth="1"/>
    <col min="15" max="15" width="9.375" style="140" bestFit="1" customWidth="1"/>
    <col min="16" max="16" width="9.5" style="140" customWidth="1"/>
    <col min="17" max="17" width="9.5" style="140" bestFit="1" customWidth="1"/>
    <col min="18" max="18" width="12" style="140" customWidth="1"/>
    <col min="19" max="19" width="11.5" style="140" bestFit="1" customWidth="1"/>
    <col min="20" max="20" width="11.5" style="140" customWidth="1"/>
    <col min="21" max="21" width="9.375" style="140" bestFit="1" customWidth="1"/>
    <col min="22" max="22" width="13" style="140" customWidth="1"/>
    <col min="23" max="23" width="16.5" style="140" customWidth="1"/>
    <col min="24" max="16384" width="10.625" style="140"/>
  </cols>
  <sheetData>
    <row r="1" spans="1:23" ht="33.75" customHeight="1" thickBot="1" x14ac:dyDescent="0.25">
      <c r="A1" s="2843" t="s">
        <v>1856</v>
      </c>
      <c r="B1" s="2843"/>
      <c r="C1" s="2843"/>
      <c r="D1" s="2843"/>
      <c r="E1" s="2843"/>
      <c r="F1" s="2843"/>
      <c r="G1" s="2843"/>
      <c r="H1" s="2843"/>
      <c r="I1" s="2843"/>
      <c r="J1" s="2843"/>
      <c r="K1" s="2843"/>
      <c r="L1" s="2843"/>
      <c r="M1" s="2843"/>
      <c r="N1" s="2843"/>
      <c r="O1" s="2843"/>
      <c r="P1" s="2843"/>
      <c r="Q1" s="2843"/>
      <c r="R1" s="2843"/>
      <c r="S1" s="2843"/>
      <c r="T1" s="2843"/>
      <c r="U1" s="2843"/>
      <c r="V1" s="2843"/>
      <c r="W1" s="2843"/>
    </row>
    <row r="2" spans="1:23" ht="69" customHeight="1" thickBot="1" x14ac:dyDescent="0.25">
      <c r="A2" s="756" t="s">
        <v>118</v>
      </c>
      <c r="B2" s="757" t="s">
        <v>107</v>
      </c>
      <c r="C2" s="757" t="s">
        <v>112</v>
      </c>
      <c r="D2" s="758" t="s">
        <v>198</v>
      </c>
      <c r="E2" s="758" t="s">
        <v>102</v>
      </c>
      <c r="F2" s="758" t="s">
        <v>199</v>
      </c>
      <c r="G2" s="758" t="s">
        <v>113</v>
      </c>
      <c r="H2" s="758" t="s">
        <v>589</v>
      </c>
      <c r="I2" s="758" t="s">
        <v>590</v>
      </c>
      <c r="J2" s="758" t="s">
        <v>99</v>
      </c>
      <c r="K2" s="758" t="s">
        <v>110</v>
      </c>
      <c r="L2" s="758" t="s">
        <v>201</v>
      </c>
      <c r="M2" s="758" t="s">
        <v>97</v>
      </c>
      <c r="N2" s="758" t="s">
        <v>95</v>
      </c>
      <c r="O2" s="759" t="s">
        <v>105</v>
      </c>
      <c r="P2" s="758" t="s">
        <v>106</v>
      </c>
      <c r="Q2" s="758" t="s">
        <v>101</v>
      </c>
      <c r="R2" s="758" t="s">
        <v>96</v>
      </c>
      <c r="S2" s="758" t="s">
        <v>104</v>
      </c>
      <c r="T2" s="758" t="s">
        <v>108</v>
      </c>
      <c r="U2" s="760" t="s">
        <v>109</v>
      </c>
      <c r="V2" s="758" t="s">
        <v>1051</v>
      </c>
      <c r="W2" s="756" t="s">
        <v>170</v>
      </c>
    </row>
    <row r="3" spans="1:23" ht="35.25" customHeight="1" x14ac:dyDescent="0.2">
      <c r="A3" s="761" t="s">
        <v>158</v>
      </c>
      <c r="B3" s="762">
        <v>119419</v>
      </c>
      <c r="C3" s="762">
        <v>26933</v>
      </c>
      <c r="D3" s="762">
        <v>40960</v>
      </c>
      <c r="E3" s="762">
        <v>726382</v>
      </c>
      <c r="F3" s="762">
        <v>60284</v>
      </c>
      <c r="G3" s="762">
        <v>65846</v>
      </c>
      <c r="H3" s="762">
        <v>30665</v>
      </c>
      <c r="I3" s="763">
        <v>22835</v>
      </c>
      <c r="J3" s="762">
        <v>671535</v>
      </c>
      <c r="K3" s="762">
        <v>66363</v>
      </c>
      <c r="L3" s="762">
        <v>97078</v>
      </c>
      <c r="M3" s="762">
        <v>62898</v>
      </c>
      <c r="N3" s="763">
        <v>43265</v>
      </c>
      <c r="O3" s="763">
        <v>49958</v>
      </c>
      <c r="P3" s="763">
        <v>17058</v>
      </c>
      <c r="Q3" s="763">
        <v>44581</v>
      </c>
      <c r="R3" s="763">
        <v>16086</v>
      </c>
      <c r="S3" s="763">
        <v>22583</v>
      </c>
      <c r="T3" s="763">
        <v>128810</v>
      </c>
      <c r="U3" s="763">
        <v>28457</v>
      </c>
      <c r="V3" s="763">
        <v>32768</v>
      </c>
      <c r="W3" s="764">
        <f t="shared" ref="W3:W14" si="0">SUM(B3:V3)</f>
        <v>2374764</v>
      </c>
    </row>
    <row r="4" spans="1:23" ht="35.25" customHeight="1" x14ac:dyDescent="0.2">
      <c r="A4" s="765" t="s">
        <v>159</v>
      </c>
      <c r="B4" s="762">
        <v>124457</v>
      </c>
      <c r="C4" s="762">
        <v>22821</v>
      </c>
      <c r="D4" s="762">
        <v>44755</v>
      </c>
      <c r="E4" s="762">
        <v>861229</v>
      </c>
      <c r="F4" s="762">
        <v>65125</v>
      </c>
      <c r="G4" s="762">
        <v>82942</v>
      </c>
      <c r="H4" s="762">
        <v>38282</v>
      </c>
      <c r="I4" s="763">
        <v>32915</v>
      </c>
      <c r="J4" s="762">
        <v>691306</v>
      </c>
      <c r="K4" s="762">
        <v>75504</v>
      </c>
      <c r="L4" s="762">
        <v>106754</v>
      </c>
      <c r="M4" s="762">
        <v>72354</v>
      </c>
      <c r="N4" s="763">
        <v>42028</v>
      </c>
      <c r="O4" s="763">
        <v>52336</v>
      </c>
      <c r="P4" s="763">
        <v>15330</v>
      </c>
      <c r="Q4" s="763">
        <v>40563</v>
      </c>
      <c r="R4" s="763">
        <v>15991</v>
      </c>
      <c r="S4" s="763">
        <v>23492</v>
      </c>
      <c r="T4" s="763">
        <v>143075</v>
      </c>
      <c r="U4" s="763">
        <v>27593</v>
      </c>
      <c r="V4" s="763">
        <v>32810</v>
      </c>
      <c r="W4" s="764">
        <f t="shared" si="0"/>
        <v>2611662</v>
      </c>
    </row>
    <row r="5" spans="1:23" ht="35.25" customHeight="1" x14ac:dyDescent="0.2">
      <c r="A5" s="765" t="s">
        <v>160</v>
      </c>
      <c r="B5" s="762">
        <v>118293</v>
      </c>
      <c r="C5" s="762">
        <v>25478</v>
      </c>
      <c r="D5" s="762">
        <v>43482</v>
      </c>
      <c r="E5" s="762">
        <v>859074</v>
      </c>
      <c r="F5" s="762">
        <v>68485</v>
      </c>
      <c r="G5" s="762">
        <v>80354</v>
      </c>
      <c r="H5" s="762">
        <v>35617</v>
      </c>
      <c r="I5" s="763">
        <v>27507</v>
      </c>
      <c r="J5" s="762">
        <v>686514</v>
      </c>
      <c r="K5" s="762">
        <v>71094</v>
      </c>
      <c r="L5" s="762">
        <v>92710</v>
      </c>
      <c r="M5" s="762">
        <v>71355</v>
      </c>
      <c r="N5" s="763">
        <v>49068</v>
      </c>
      <c r="O5" s="763">
        <v>51545</v>
      </c>
      <c r="P5" s="763">
        <v>16523</v>
      </c>
      <c r="Q5" s="763">
        <v>41391</v>
      </c>
      <c r="R5" s="763">
        <v>17036</v>
      </c>
      <c r="S5" s="763">
        <v>20215</v>
      </c>
      <c r="T5" s="763">
        <v>149422</v>
      </c>
      <c r="U5" s="763">
        <v>28639</v>
      </c>
      <c r="V5" s="763">
        <v>34728</v>
      </c>
      <c r="W5" s="764">
        <f t="shared" si="0"/>
        <v>2588530</v>
      </c>
    </row>
    <row r="6" spans="1:23" ht="35.25" customHeight="1" x14ac:dyDescent="0.2">
      <c r="A6" s="765" t="s">
        <v>161</v>
      </c>
      <c r="B6" s="762">
        <v>116393</v>
      </c>
      <c r="C6" s="762">
        <v>24969</v>
      </c>
      <c r="D6" s="762">
        <v>37026</v>
      </c>
      <c r="E6" s="762">
        <v>883145</v>
      </c>
      <c r="F6" s="762">
        <v>65473</v>
      </c>
      <c r="G6" s="762">
        <v>77705</v>
      </c>
      <c r="H6" s="762">
        <v>35056</v>
      </c>
      <c r="I6" s="763">
        <v>26001</v>
      </c>
      <c r="J6" s="762">
        <v>685751</v>
      </c>
      <c r="K6" s="762">
        <v>77673</v>
      </c>
      <c r="L6" s="762">
        <v>87992</v>
      </c>
      <c r="M6" s="762">
        <v>69198</v>
      </c>
      <c r="N6" s="763">
        <v>47734</v>
      </c>
      <c r="O6" s="763">
        <v>52829</v>
      </c>
      <c r="P6" s="763">
        <v>17381</v>
      </c>
      <c r="Q6" s="763">
        <v>39523</v>
      </c>
      <c r="R6" s="763">
        <v>16557</v>
      </c>
      <c r="S6" s="763">
        <v>20665</v>
      </c>
      <c r="T6" s="763">
        <v>151994</v>
      </c>
      <c r="U6" s="763">
        <v>27201</v>
      </c>
      <c r="V6" s="763">
        <v>34693</v>
      </c>
      <c r="W6" s="764">
        <f t="shared" si="0"/>
        <v>2594959</v>
      </c>
    </row>
    <row r="7" spans="1:23" ht="35.25" customHeight="1" x14ac:dyDescent="0.2">
      <c r="A7" s="765" t="s">
        <v>162</v>
      </c>
      <c r="B7" s="762">
        <v>177030</v>
      </c>
      <c r="C7" s="762">
        <v>24270</v>
      </c>
      <c r="D7" s="762">
        <v>38300</v>
      </c>
      <c r="E7" s="762">
        <v>921506</v>
      </c>
      <c r="F7" s="762">
        <v>69041</v>
      </c>
      <c r="G7" s="762">
        <v>74143</v>
      </c>
      <c r="H7" s="762">
        <v>32674</v>
      </c>
      <c r="I7" s="763">
        <v>26592</v>
      </c>
      <c r="J7" s="762">
        <v>673260</v>
      </c>
      <c r="K7" s="762">
        <v>73960</v>
      </c>
      <c r="L7" s="762">
        <v>74203</v>
      </c>
      <c r="M7" s="762">
        <v>65371</v>
      </c>
      <c r="N7" s="763">
        <v>39512</v>
      </c>
      <c r="O7" s="763">
        <v>52761</v>
      </c>
      <c r="P7" s="763">
        <v>17450</v>
      </c>
      <c r="Q7" s="763">
        <v>37008</v>
      </c>
      <c r="R7" s="763">
        <v>17405</v>
      </c>
      <c r="S7" s="763">
        <v>20224</v>
      </c>
      <c r="T7" s="763">
        <v>151410</v>
      </c>
      <c r="U7" s="763">
        <v>26068</v>
      </c>
      <c r="V7" s="763">
        <v>32906</v>
      </c>
      <c r="W7" s="764">
        <f t="shared" si="0"/>
        <v>2645094</v>
      </c>
    </row>
    <row r="8" spans="1:23" ht="35.25" customHeight="1" x14ac:dyDescent="0.2">
      <c r="A8" s="765" t="s">
        <v>163</v>
      </c>
      <c r="B8" s="762">
        <v>155973</v>
      </c>
      <c r="C8" s="762">
        <v>26795</v>
      </c>
      <c r="D8" s="762">
        <v>38085</v>
      </c>
      <c r="E8" s="762">
        <v>900405</v>
      </c>
      <c r="F8" s="762">
        <v>71633</v>
      </c>
      <c r="G8" s="762">
        <v>64294</v>
      </c>
      <c r="H8" s="762">
        <v>34146</v>
      </c>
      <c r="I8" s="763">
        <v>27907</v>
      </c>
      <c r="J8" s="762">
        <v>674935</v>
      </c>
      <c r="K8" s="762">
        <v>77338</v>
      </c>
      <c r="L8" s="762">
        <v>85521</v>
      </c>
      <c r="M8" s="762">
        <v>62627</v>
      </c>
      <c r="N8" s="763">
        <v>38558</v>
      </c>
      <c r="O8" s="763">
        <v>53724</v>
      </c>
      <c r="P8" s="763">
        <v>18075</v>
      </c>
      <c r="Q8" s="763">
        <v>35634</v>
      </c>
      <c r="R8" s="763">
        <v>17556</v>
      </c>
      <c r="S8" s="763">
        <v>20919</v>
      </c>
      <c r="T8" s="763">
        <v>150800</v>
      </c>
      <c r="U8" s="763">
        <v>26481</v>
      </c>
      <c r="V8" s="763">
        <v>36253</v>
      </c>
      <c r="W8" s="764">
        <f t="shared" si="0"/>
        <v>2617659</v>
      </c>
    </row>
    <row r="9" spans="1:23" ht="35.25" customHeight="1" x14ac:dyDescent="0.2">
      <c r="A9" s="765" t="s">
        <v>164</v>
      </c>
      <c r="B9" s="762">
        <v>107667</v>
      </c>
      <c r="C9" s="762">
        <v>24695</v>
      </c>
      <c r="D9" s="762">
        <v>34464</v>
      </c>
      <c r="E9" s="762">
        <v>886843</v>
      </c>
      <c r="F9" s="762">
        <v>64283</v>
      </c>
      <c r="G9" s="762">
        <v>80784</v>
      </c>
      <c r="H9" s="762">
        <v>34494</v>
      </c>
      <c r="I9" s="763">
        <v>25252</v>
      </c>
      <c r="J9" s="762">
        <v>669390</v>
      </c>
      <c r="K9" s="762">
        <v>74273</v>
      </c>
      <c r="L9" s="762">
        <v>102097</v>
      </c>
      <c r="M9" s="762">
        <v>61581</v>
      </c>
      <c r="N9" s="763">
        <v>41390</v>
      </c>
      <c r="O9" s="763">
        <v>51902</v>
      </c>
      <c r="P9" s="763">
        <v>15367</v>
      </c>
      <c r="Q9" s="763">
        <v>36534</v>
      </c>
      <c r="R9" s="763">
        <v>16360</v>
      </c>
      <c r="S9" s="763">
        <v>20554</v>
      </c>
      <c r="T9" s="763">
        <v>141894</v>
      </c>
      <c r="U9" s="763">
        <v>24753</v>
      </c>
      <c r="V9" s="763">
        <v>32068</v>
      </c>
      <c r="W9" s="764">
        <f t="shared" si="0"/>
        <v>2546645</v>
      </c>
    </row>
    <row r="10" spans="1:23" ht="35.25" customHeight="1" x14ac:dyDescent="0.2">
      <c r="A10" s="765" t="s">
        <v>520</v>
      </c>
      <c r="B10" s="762">
        <v>114883</v>
      </c>
      <c r="C10" s="762">
        <v>24357</v>
      </c>
      <c r="D10" s="762">
        <v>35568</v>
      </c>
      <c r="E10" s="762">
        <v>894031</v>
      </c>
      <c r="F10" s="762">
        <v>63908</v>
      </c>
      <c r="G10" s="762">
        <v>76131</v>
      </c>
      <c r="H10" s="762">
        <v>33999</v>
      </c>
      <c r="I10" s="763">
        <v>25367</v>
      </c>
      <c r="J10" s="762">
        <v>651815</v>
      </c>
      <c r="K10" s="762">
        <v>74412</v>
      </c>
      <c r="L10" s="762">
        <v>119527</v>
      </c>
      <c r="M10" s="762">
        <v>60118</v>
      </c>
      <c r="N10" s="763">
        <v>40070</v>
      </c>
      <c r="O10" s="763">
        <v>50897</v>
      </c>
      <c r="P10" s="763">
        <v>15913</v>
      </c>
      <c r="Q10" s="763">
        <v>39347</v>
      </c>
      <c r="R10" s="763">
        <v>16218</v>
      </c>
      <c r="S10" s="763">
        <v>20432</v>
      </c>
      <c r="T10" s="763">
        <v>141235</v>
      </c>
      <c r="U10" s="763">
        <v>23144</v>
      </c>
      <c r="V10" s="763">
        <v>32010</v>
      </c>
      <c r="W10" s="764">
        <f t="shared" si="0"/>
        <v>2553382</v>
      </c>
    </row>
    <row r="11" spans="1:23" ht="35.25" customHeight="1" x14ac:dyDescent="0.2">
      <c r="A11" s="765" t="s">
        <v>166</v>
      </c>
      <c r="B11" s="762">
        <v>112037</v>
      </c>
      <c r="C11" s="762">
        <v>23370</v>
      </c>
      <c r="D11" s="762">
        <v>35427</v>
      </c>
      <c r="E11" s="762">
        <v>897422</v>
      </c>
      <c r="F11" s="762">
        <v>66772</v>
      </c>
      <c r="G11" s="762">
        <v>73168</v>
      </c>
      <c r="H11" s="762">
        <v>32040</v>
      </c>
      <c r="I11" s="763">
        <v>25176</v>
      </c>
      <c r="J11" s="762">
        <v>642576</v>
      </c>
      <c r="K11" s="762">
        <v>72362</v>
      </c>
      <c r="L11" s="762">
        <v>109066</v>
      </c>
      <c r="M11" s="762">
        <v>54260</v>
      </c>
      <c r="N11" s="763">
        <v>35132</v>
      </c>
      <c r="O11" s="763">
        <v>49164</v>
      </c>
      <c r="P11" s="763">
        <v>17874</v>
      </c>
      <c r="Q11" s="763">
        <v>41818</v>
      </c>
      <c r="R11" s="763">
        <v>15673</v>
      </c>
      <c r="S11" s="763">
        <v>20208</v>
      </c>
      <c r="T11" s="763">
        <v>123674</v>
      </c>
      <c r="U11" s="763">
        <v>20629</v>
      </c>
      <c r="V11" s="763">
        <v>31721</v>
      </c>
      <c r="W11" s="764">
        <f t="shared" si="0"/>
        <v>2499569</v>
      </c>
    </row>
    <row r="12" spans="1:23" ht="35.25" customHeight="1" x14ac:dyDescent="0.2">
      <c r="A12" s="765" t="s">
        <v>521</v>
      </c>
      <c r="B12" s="762">
        <v>107266</v>
      </c>
      <c r="C12" s="762">
        <v>24817</v>
      </c>
      <c r="D12" s="762">
        <v>32793</v>
      </c>
      <c r="E12" s="762">
        <v>877771</v>
      </c>
      <c r="F12" s="762">
        <v>58922</v>
      </c>
      <c r="G12" s="762">
        <v>64533</v>
      </c>
      <c r="H12" s="762">
        <v>33430</v>
      </c>
      <c r="I12" s="763">
        <v>22841</v>
      </c>
      <c r="J12" s="762">
        <v>601044</v>
      </c>
      <c r="K12" s="762">
        <v>70122</v>
      </c>
      <c r="L12" s="762">
        <v>81666</v>
      </c>
      <c r="M12" s="762">
        <v>50791</v>
      </c>
      <c r="N12" s="763">
        <v>35054</v>
      </c>
      <c r="O12" s="763">
        <v>47664</v>
      </c>
      <c r="P12" s="763">
        <v>19006</v>
      </c>
      <c r="Q12" s="763">
        <v>41391</v>
      </c>
      <c r="R12" s="763">
        <v>14049</v>
      </c>
      <c r="S12" s="763">
        <v>19530</v>
      </c>
      <c r="T12" s="763">
        <v>112908</v>
      </c>
      <c r="U12" s="763">
        <v>18306</v>
      </c>
      <c r="V12" s="763">
        <v>28408</v>
      </c>
      <c r="W12" s="764">
        <f t="shared" si="0"/>
        <v>2362312</v>
      </c>
    </row>
    <row r="13" spans="1:23" ht="35.25" customHeight="1" x14ac:dyDescent="0.2">
      <c r="A13" s="765" t="s">
        <v>168</v>
      </c>
      <c r="B13" s="762">
        <v>111410</v>
      </c>
      <c r="C13" s="762">
        <v>25040</v>
      </c>
      <c r="D13" s="762">
        <v>33430</v>
      </c>
      <c r="E13" s="762">
        <v>873580</v>
      </c>
      <c r="F13" s="762">
        <v>63934</v>
      </c>
      <c r="G13" s="762">
        <v>67601</v>
      </c>
      <c r="H13" s="762">
        <v>29968</v>
      </c>
      <c r="I13" s="763">
        <v>25842</v>
      </c>
      <c r="J13" s="762">
        <v>651420</v>
      </c>
      <c r="K13" s="762">
        <v>76049</v>
      </c>
      <c r="L13" s="762">
        <v>92336</v>
      </c>
      <c r="M13" s="762">
        <v>58259</v>
      </c>
      <c r="N13" s="763">
        <v>43059</v>
      </c>
      <c r="O13" s="763">
        <v>49828</v>
      </c>
      <c r="P13" s="763">
        <v>22539</v>
      </c>
      <c r="Q13" s="763">
        <v>42849</v>
      </c>
      <c r="R13" s="763">
        <v>16085</v>
      </c>
      <c r="S13" s="763">
        <v>19859</v>
      </c>
      <c r="T13" s="763">
        <v>148030</v>
      </c>
      <c r="U13" s="763">
        <v>21539</v>
      </c>
      <c r="V13" s="763">
        <v>29492</v>
      </c>
      <c r="W13" s="764">
        <f t="shared" si="0"/>
        <v>2502149</v>
      </c>
    </row>
    <row r="14" spans="1:23" ht="35.25" customHeight="1" thickBot="1" x14ac:dyDescent="0.25">
      <c r="A14" s="766" t="s">
        <v>169</v>
      </c>
      <c r="B14" s="762">
        <v>105682</v>
      </c>
      <c r="C14" s="762">
        <v>21080</v>
      </c>
      <c r="D14" s="762">
        <v>34730</v>
      </c>
      <c r="E14" s="762">
        <v>872762</v>
      </c>
      <c r="F14" s="762">
        <v>52227</v>
      </c>
      <c r="G14" s="762">
        <v>52663</v>
      </c>
      <c r="H14" s="762">
        <v>26263</v>
      </c>
      <c r="I14" s="763">
        <v>21205</v>
      </c>
      <c r="J14" s="762">
        <v>525179</v>
      </c>
      <c r="K14" s="762">
        <v>62376</v>
      </c>
      <c r="L14" s="762">
        <v>90087</v>
      </c>
      <c r="M14" s="762">
        <v>50942</v>
      </c>
      <c r="N14" s="763">
        <v>38543</v>
      </c>
      <c r="O14" s="763">
        <v>45506</v>
      </c>
      <c r="P14" s="763">
        <v>19921</v>
      </c>
      <c r="Q14" s="763">
        <v>41049</v>
      </c>
      <c r="R14" s="763">
        <v>12471</v>
      </c>
      <c r="S14" s="763">
        <v>16611</v>
      </c>
      <c r="T14" s="763">
        <v>106996</v>
      </c>
      <c r="U14" s="763">
        <v>16719</v>
      </c>
      <c r="V14" s="763">
        <v>31247</v>
      </c>
      <c r="W14" s="764">
        <f t="shared" si="0"/>
        <v>2244259</v>
      </c>
    </row>
    <row r="15" spans="1:23" ht="46.5" customHeight="1" thickBot="1" x14ac:dyDescent="0.25">
      <c r="A15" s="756" t="s">
        <v>170</v>
      </c>
      <c r="B15" s="767">
        <f t="shared" ref="B15:W15" si="1">SUM(B3:B14)</f>
        <v>1470510</v>
      </c>
      <c r="C15" s="767">
        <f t="shared" si="1"/>
        <v>294625</v>
      </c>
      <c r="D15" s="767">
        <f t="shared" si="1"/>
        <v>449020</v>
      </c>
      <c r="E15" s="767">
        <f t="shared" si="1"/>
        <v>10454150</v>
      </c>
      <c r="F15" s="767">
        <f t="shared" si="1"/>
        <v>770087</v>
      </c>
      <c r="G15" s="767">
        <f t="shared" si="1"/>
        <v>860164</v>
      </c>
      <c r="H15" s="767">
        <f t="shared" si="1"/>
        <v>396634</v>
      </c>
      <c r="I15" s="767">
        <f t="shared" si="1"/>
        <v>309440</v>
      </c>
      <c r="J15" s="767">
        <f t="shared" si="1"/>
        <v>7824725</v>
      </c>
      <c r="K15" s="767">
        <f t="shared" si="1"/>
        <v>871526</v>
      </c>
      <c r="L15" s="767">
        <f t="shared" si="1"/>
        <v>1139037</v>
      </c>
      <c r="M15" s="767">
        <f t="shared" si="1"/>
        <v>739754</v>
      </c>
      <c r="N15" s="767">
        <f t="shared" si="1"/>
        <v>493413</v>
      </c>
      <c r="O15" s="767">
        <f t="shared" si="1"/>
        <v>608114</v>
      </c>
      <c r="P15" s="767">
        <f t="shared" si="1"/>
        <v>212437</v>
      </c>
      <c r="Q15" s="767">
        <f t="shared" si="1"/>
        <v>481688</v>
      </c>
      <c r="R15" s="767">
        <f t="shared" si="1"/>
        <v>191487</v>
      </c>
      <c r="S15" s="767">
        <f t="shared" si="1"/>
        <v>245292</v>
      </c>
      <c r="T15" s="767">
        <f t="shared" si="1"/>
        <v>1650248</v>
      </c>
      <c r="U15" s="767">
        <f t="shared" si="1"/>
        <v>289529</v>
      </c>
      <c r="V15" s="767">
        <f t="shared" si="1"/>
        <v>389104</v>
      </c>
      <c r="W15" s="768">
        <f t="shared" si="1"/>
        <v>30140984</v>
      </c>
    </row>
    <row r="16" spans="1:23" ht="35.25" customHeight="1" x14ac:dyDescent="0.2">
      <c r="A16" s="2844" t="s">
        <v>1052</v>
      </c>
      <c r="B16" s="2844"/>
      <c r="C16" s="2844"/>
      <c r="D16" s="2844"/>
      <c r="E16" s="2844"/>
      <c r="F16" s="2844"/>
      <c r="G16" s="2844"/>
      <c r="H16" s="2844"/>
      <c r="I16" s="2844"/>
      <c r="J16" s="2844"/>
      <c r="K16" s="2844"/>
      <c r="L16" s="2844"/>
      <c r="M16" s="2844"/>
      <c r="N16" s="2844"/>
      <c r="O16" s="2844"/>
      <c r="P16" s="2844"/>
      <c r="Q16" s="2844"/>
      <c r="R16" s="2844"/>
      <c r="S16" s="2844"/>
      <c r="T16" s="2844"/>
      <c r="U16" s="2844"/>
      <c r="V16" s="2844"/>
      <c r="W16" s="2844"/>
    </row>
    <row r="17" spans="1:23" ht="22.5" customHeight="1" x14ac:dyDescent="0.2">
      <c r="A17" s="2845" t="s">
        <v>1053</v>
      </c>
      <c r="B17" s="2845"/>
      <c r="C17" s="2845"/>
      <c r="D17" s="2845"/>
      <c r="E17" s="2845"/>
      <c r="F17" s="2845"/>
      <c r="G17" s="2845"/>
      <c r="H17" s="2845"/>
      <c r="I17" s="2845"/>
      <c r="J17" s="2845"/>
      <c r="K17" s="2845"/>
      <c r="L17" s="2845"/>
      <c r="M17" s="2845"/>
      <c r="N17" s="2845"/>
      <c r="O17" s="2845"/>
      <c r="P17" s="2845"/>
      <c r="Q17" s="2845"/>
      <c r="R17" s="2845"/>
      <c r="S17" s="2845"/>
      <c r="T17" s="2845"/>
      <c r="U17" s="2845"/>
      <c r="V17" s="2845"/>
      <c r="W17" s="2845"/>
    </row>
    <row r="18" spans="1:23" ht="60.75" hidden="1" customHeight="1" x14ac:dyDescent="0.2">
      <c r="A18" s="140" t="s">
        <v>195</v>
      </c>
      <c r="C18" s="140" t="s">
        <v>1054</v>
      </c>
      <c r="D18" s="140" t="s">
        <v>1055</v>
      </c>
      <c r="E18" s="140" t="s">
        <v>1056</v>
      </c>
      <c r="F18" s="140" t="s">
        <v>1057</v>
      </c>
      <c r="G18" s="140" t="s">
        <v>1058</v>
      </c>
      <c r="H18" s="140" t="s">
        <v>1059</v>
      </c>
      <c r="I18" s="140" t="s">
        <v>1060</v>
      </c>
      <c r="J18" s="140" t="s">
        <v>1061</v>
      </c>
      <c r="K18" s="140" t="s">
        <v>1062</v>
      </c>
      <c r="L18" s="140" t="s">
        <v>1063</v>
      </c>
      <c r="M18" s="140" t="s">
        <v>1064</v>
      </c>
      <c r="N18" s="140" t="s">
        <v>1065</v>
      </c>
      <c r="O18" s="140" t="s">
        <v>1066</v>
      </c>
      <c r="P18" s="140" t="s">
        <v>1067</v>
      </c>
      <c r="Q18" s="140" t="s">
        <v>1068</v>
      </c>
      <c r="R18" s="140" t="s">
        <v>1069</v>
      </c>
      <c r="S18" s="140" t="s">
        <v>1070</v>
      </c>
      <c r="T18" s="140" t="s">
        <v>1071</v>
      </c>
      <c r="U18" s="140" t="s">
        <v>1072</v>
      </c>
      <c r="V18" s="140" t="s">
        <v>1073</v>
      </c>
      <c r="W18" s="140" t="s">
        <v>1074</v>
      </c>
    </row>
    <row r="19" spans="1:23" ht="60.75" hidden="1" customHeight="1" x14ac:dyDescent="0.2">
      <c r="A19" s="140">
        <v>1</v>
      </c>
      <c r="C19" s="140">
        <v>132173</v>
      </c>
      <c r="D19" s="140">
        <v>43746</v>
      </c>
      <c r="E19" s="140">
        <v>17200</v>
      </c>
      <c r="F19" s="140">
        <v>714672</v>
      </c>
      <c r="G19" s="140">
        <v>59717</v>
      </c>
      <c r="H19" s="140">
        <v>48165</v>
      </c>
      <c r="I19" s="140">
        <v>24650</v>
      </c>
      <c r="J19" s="140">
        <v>649730</v>
      </c>
      <c r="K19" s="140">
        <v>117641</v>
      </c>
      <c r="L19" s="140">
        <v>133363</v>
      </c>
      <c r="M19" s="140">
        <v>63466</v>
      </c>
      <c r="N19" s="140">
        <v>55995</v>
      </c>
      <c r="O19" s="140">
        <v>42434</v>
      </c>
      <c r="P19" s="140">
        <v>9026</v>
      </c>
      <c r="Q19" s="140">
        <v>53809</v>
      </c>
      <c r="R19" s="140">
        <v>18711</v>
      </c>
      <c r="S19" s="140">
        <v>109555</v>
      </c>
      <c r="T19" s="140">
        <v>47957</v>
      </c>
      <c r="U19" s="140">
        <v>22297</v>
      </c>
    </row>
    <row r="20" spans="1:23" ht="60.75" hidden="1" customHeight="1" x14ac:dyDescent="0.2">
      <c r="A20" s="140">
        <v>2</v>
      </c>
      <c r="C20" s="140">
        <v>104463</v>
      </c>
      <c r="D20" s="140">
        <v>30686</v>
      </c>
      <c r="E20" s="140">
        <v>16048</v>
      </c>
      <c r="F20" s="140">
        <v>801954</v>
      </c>
      <c r="G20" s="140">
        <v>62807</v>
      </c>
      <c r="H20" s="140">
        <v>50785</v>
      </c>
      <c r="I20" s="140">
        <v>20782</v>
      </c>
      <c r="J20" s="140">
        <v>545305</v>
      </c>
      <c r="K20" s="140">
        <v>105069</v>
      </c>
      <c r="L20" s="140">
        <v>127981</v>
      </c>
      <c r="M20" s="140">
        <v>58463</v>
      </c>
      <c r="N20" s="140">
        <v>56911</v>
      </c>
      <c r="O20" s="140">
        <v>41372</v>
      </c>
      <c r="P20" s="140">
        <v>8435</v>
      </c>
      <c r="Q20" s="140">
        <v>41681</v>
      </c>
      <c r="R20" s="140">
        <v>12890</v>
      </c>
      <c r="S20" s="140">
        <v>103885</v>
      </c>
      <c r="T20" s="140">
        <v>44249</v>
      </c>
      <c r="U20" s="140">
        <v>24003</v>
      </c>
    </row>
    <row r="21" spans="1:23" ht="60.75" hidden="1" customHeight="1" x14ac:dyDescent="0.2">
      <c r="A21" s="140">
        <v>3</v>
      </c>
      <c r="C21" s="140">
        <v>76836</v>
      </c>
      <c r="D21" s="140">
        <v>23451</v>
      </c>
      <c r="E21" s="140">
        <v>15611</v>
      </c>
      <c r="F21" s="140">
        <v>709573</v>
      </c>
      <c r="G21" s="140">
        <v>55093</v>
      </c>
      <c r="H21" s="140">
        <v>42755</v>
      </c>
      <c r="I21" s="140">
        <v>13895</v>
      </c>
      <c r="J21" s="140">
        <v>469109</v>
      </c>
      <c r="K21" s="140">
        <v>97317</v>
      </c>
      <c r="L21" s="140">
        <v>92620</v>
      </c>
      <c r="M21" s="140">
        <v>60460</v>
      </c>
      <c r="N21" s="140">
        <v>48906</v>
      </c>
      <c r="O21" s="140">
        <v>42529</v>
      </c>
      <c r="P21" s="140">
        <v>7687</v>
      </c>
      <c r="Q21" s="140">
        <v>41400</v>
      </c>
      <c r="R21" s="140">
        <v>10728</v>
      </c>
      <c r="S21" s="140">
        <v>85874</v>
      </c>
      <c r="T21" s="140">
        <v>30470</v>
      </c>
      <c r="U21" s="140">
        <v>20795</v>
      </c>
    </row>
    <row r="22" spans="1:23" ht="60.75" hidden="1" customHeight="1" x14ac:dyDescent="0.2">
      <c r="A22" s="140">
        <v>4</v>
      </c>
      <c r="C22" s="140">
        <v>125729</v>
      </c>
      <c r="D22" s="140">
        <v>20523</v>
      </c>
      <c r="E22" s="140">
        <v>29279</v>
      </c>
      <c r="F22" s="140">
        <v>864590</v>
      </c>
      <c r="G22" s="140">
        <v>66993</v>
      </c>
      <c r="H22" s="140">
        <v>65135</v>
      </c>
      <c r="I22" s="140">
        <v>17403</v>
      </c>
      <c r="J22" s="140">
        <v>649351</v>
      </c>
      <c r="K22" s="140">
        <v>115580</v>
      </c>
      <c r="L22" s="140">
        <v>95086</v>
      </c>
      <c r="M22" s="140">
        <v>62761</v>
      </c>
      <c r="N22" s="140">
        <v>58955</v>
      </c>
      <c r="O22" s="140">
        <v>48365</v>
      </c>
      <c r="P22" s="140">
        <v>9479</v>
      </c>
      <c r="Q22" s="140">
        <v>51314</v>
      </c>
      <c r="R22" s="140">
        <v>10893</v>
      </c>
      <c r="S22" s="140">
        <v>104091</v>
      </c>
      <c r="T22" s="140">
        <v>36294</v>
      </c>
      <c r="U22" s="140">
        <v>24938</v>
      </c>
    </row>
    <row r="23" spans="1:23" ht="60.75" hidden="1" customHeight="1" x14ac:dyDescent="0.2">
      <c r="A23" s="140">
        <v>5</v>
      </c>
      <c r="C23" s="140">
        <v>130954</v>
      </c>
      <c r="D23" s="140">
        <v>22695</v>
      </c>
      <c r="E23" s="140">
        <v>31981</v>
      </c>
      <c r="F23" s="140">
        <v>937008</v>
      </c>
      <c r="G23" s="140">
        <v>66790</v>
      </c>
      <c r="H23" s="140">
        <v>60164</v>
      </c>
      <c r="I23" s="140">
        <v>16076</v>
      </c>
      <c r="J23" s="140">
        <v>743518</v>
      </c>
      <c r="K23" s="140">
        <v>109836</v>
      </c>
      <c r="L23" s="140">
        <v>99028</v>
      </c>
      <c r="M23" s="140">
        <v>68821</v>
      </c>
      <c r="N23" s="140">
        <v>58196</v>
      </c>
      <c r="O23" s="140">
        <v>51450</v>
      </c>
      <c r="P23" s="140">
        <v>9555</v>
      </c>
      <c r="Q23" s="140">
        <v>53641</v>
      </c>
      <c r="R23" s="140">
        <v>14471</v>
      </c>
      <c r="S23" s="140">
        <v>117145</v>
      </c>
      <c r="T23" s="140">
        <v>35574</v>
      </c>
      <c r="U23" s="140">
        <v>24919</v>
      </c>
    </row>
    <row r="24" spans="1:23" ht="60.75" hidden="1" customHeight="1" x14ac:dyDescent="0.2">
      <c r="A24" s="140">
        <v>6</v>
      </c>
      <c r="C24" s="140">
        <v>110345</v>
      </c>
      <c r="D24" s="140">
        <v>21197</v>
      </c>
      <c r="E24" s="140">
        <v>28479</v>
      </c>
      <c r="F24" s="140">
        <v>916521</v>
      </c>
      <c r="G24" s="140">
        <v>69029</v>
      </c>
      <c r="H24" s="140">
        <v>64065</v>
      </c>
      <c r="I24" s="140">
        <v>18223</v>
      </c>
      <c r="J24" s="140">
        <v>770100</v>
      </c>
      <c r="K24" s="140">
        <v>128093</v>
      </c>
      <c r="L24" s="140">
        <v>101977</v>
      </c>
      <c r="M24" s="140">
        <v>71795</v>
      </c>
      <c r="N24" s="140">
        <v>52101</v>
      </c>
      <c r="O24" s="140">
        <v>51758</v>
      </c>
      <c r="P24" s="140">
        <v>10302</v>
      </c>
      <c r="Q24" s="140">
        <v>53247</v>
      </c>
      <c r="R24" s="140">
        <v>14708</v>
      </c>
      <c r="S24" s="140">
        <v>114683</v>
      </c>
      <c r="T24" s="140">
        <v>36031</v>
      </c>
      <c r="U24" s="140">
        <v>25988</v>
      </c>
    </row>
    <row r="25" spans="1:23" ht="60.75" hidden="1" customHeight="1" x14ac:dyDescent="0.2">
      <c r="A25" s="140">
        <v>7</v>
      </c>
      <c r="C25" s="140">
        <v>101944</v>
      </c>
      <c r="D25" s="140">
        <v>15817</v>
      </c>
      <c r="E25" s="140">
        <v>25464</v>
      </c>
      <c r="F25" s="140">
        <v>809712</v>
      </c>
      <c r="G25" s="140">
        <v>62664</v>
      </c>
      <c r="H25" s="140">
        <v>62188</v>
      </c>
      <c r="I25" s="140">
        <v>15888</v>
      </c>
      <c r="J25" s="140">
        <v>597468</v>
      </c>
      <c r="K25" s="140">
        <v>108040</v>
      </c>
      <c r="L25" s="140">
        <v>137128</v>
      </c>
      <c r="M25" s="140">
        <v>63918</v>
      </c>
      <c r="N25" s="140">
        <v>50908</v>
      </c>
      <c r="O25" s="140">
        <v>40793</v>
      </c>
      <c r="P25" s="140">
        <v>7900</v>
      </c>
      <c r="Q25" s="140">
        <v>40252</v>
      </c>
      <c r="R25" s="140">
        <v>9216</v>
      </c>
      <c r="S25" s="140">
        <v>105571</v>
      </c>
      <c r="T25" s="140">
        <v>34331</v>
      </c>
      <c r="U25" s="140">
        <v>21701</v>
      </c>
    </row>
    <row r="26" spans="1:23" ht="60.75" hidden="1" customHeight="1" x14ac:dyDescent="0.2">
      <c r="A26" s="140">
        <v>8</v>
      </c>
      <c r="C26" s="140">
        <v>165138</v>
      </c>
      <c r="D26" s="140">
        <v>15001</v>
      </c>
      <c r="E26" s="140">
        <v>32076</v>
      </c>
      <c r="F26" s="140">
        <v>816786</v>
      </c>
      <c r="G26" s="140">
        <v>67482</v>
      </c>
      <c r="H26" s="140">
        <v>47286</v>
      </c>
      <c r="I26" s="140">
        <v>18330</v>
      </c>
      <c r="J26" s="140">
        <v>609603</v>
      </c>
      <c r="K26" s="140">
        <v>117515</v>
      </c>
      <c r="L26" s="140">
        <v>142633</v>
      </c>
      <c r="M26" s="140">
        <v>62155</v>
      </c>
      <c r="N26" s="140">
        <v>48491</v>
      </c>
      <c r="O26" s="140">
        <v>40094</v>
      </c>
      <c r="P26" s="140">
        <v>7930</v>
      </c>
      <c r="Q26" s="140">
        <v>45273</v>
      </c>
      <c r="R26" s="140">
        <v>10726</v>
      </c>
      <c r="S26" s="140">
        <v>110777</v>
      </c>
      <c r="T26" s="140">
        <v>31238</v>
      </c>
      <c r="U26" s="140">
        <v>18056</v>
      </c>
    </row>
    <row r="27" spans="1:23" ht="60.75" hidden="1" customHeight="1" x14ac:dyDescent="0.2">
      <c r="A27" s="140">
        <v>9</v>
      </c>
      <c r="C27" s="140">
        <v>105750</v>
      </c>
      <c r="D27" s="140">
        <v>16921</v>
      </c>
      <c r="E27" s="140">
        <v>17976</v>
      </c>
      <c r="F27" s="140">
        <v>802171</v>
      </c>
      <c r="G27" s="140">
        <v>63763</v>
      </c>
      <c r="H27" s="140">
        <v>55435</v>
      </c>
      <c r="I27" s="140">
        <v>19787</v>
      </c>
      <c r="J27" s="140">
        <v>585546</v>
      </c>
      <c r="K27" s="140">
        <v>113734</v>
      </c>
      <c r="L27" s="140">
        <v>134339</v>
      </c>
      <c r="M27" s="140">
        <v>54864</v>
      </c>
      <c r="N27" s="140">
        <v>50504</v>
      </c>
      <c r="O27" s="140">
        <v>35970</v>
      </c>
      <c r="P27" s="140">
        <v>8026</v>
      </c>
      <c r="Q27" s="140">
        <v>51818</v>
      </c>
      <c r="R27" s="140">
        <v>10633</v>
      </c>
      <c r="S27" s="140">
        <v>103826</v>
      </c>
      <c r="T27" s="140">
        <v>34507</v>
      </c>
      <c r="U27" s="140">
        <v>18594</v>
      </c>
    </row>
    <row r="28" spans="1:23" ht="60.75" hidden="1" customHeight="1" x14ac:dyDescent="0.2">
      <c r="A28" s="140">
        <v>10</v>
      </c>
      <c r="C28" s="140">
        <v>90829</v>
      </c>
      <c r="D28" s="140">
        <v>14488</v>
      </c>
      <c r="E28" s="140">
        <v>16457</v>
      </c>
      <c r="F28" s="140">
        <v>799316</v>
      </c>
      <c r="G28" s="140">
        <v>57937</v>
      </c>
      <c r="H28" s="140">
        <v>58010</v>
      </c>
      <c r="I28" s="140">
        <v>18743</v>
      </c>
      <c r="J28" s="140">
        <v>496791</v>
      </c>
      <c r="K28" s="140">
        <v>106358</v>
      </c>
      <c r="L28" s="140">
        <v>109009</v>
      </c>
      <c r="M28" s="140">
        <v>46696</v>
      </c>
      <c r="N28" s="140">
        <v>44049</v>
      </c>
      <c r="O28" s="140">
        <v>33860</v>
      </c>
      <c r="P28" s="140">
        <v>7535</v>
      </c>
      <c r="Q28" s="140">
        <v>51841</v>
      </c>
      <c r="R28" s="140">
        <v>10187</v>
      </c>
      <c r="S28" s="140">
        <v>85851</v>
      </c>
      <c r="T28" s="140">
        <v>33342</v>
      </c>
      <c r="U28" s="140">
        <v>18524</v>
      </c>
      <c r="V28" s="140">
        <v>7974</v>
      </c>
    </row>
    <row r="29" spans="1:23" ht="60.75" hidden="1" customHeight="1" x14ac:dyDescent="0.2">
      <c r="A29" s="140">
        <v>11</v>
      </c>
      <c r="C29" s="140">
        <v>114977</v>
      </c>
      <c r="D29" s="140">
        <v>18018</v>
      </c>
      <c r="E29" s="140">
        <v>18513</v>
      </c>
      <c r="F29" s="140">
        <v>838064</v>
      </c>
      <c r="G29" s="140">
        <v>62948</v>
      </c>
      <c r="H29" s="140">
        <v>52397</v>
      </c>
      <c r="I29" s="140">
        <v>22813</v>
      </c>
      <c r="J29" s="140">
        <v>607462</v>
      </c>
      <c r="K29" s="140">
        <v>111221</v>
      </c>
      <c r="L29" s="140">
        <v>117062</v>
      </c>
      <c r="M29" s="140">
        <v>58393</v>
      </c>
      <c r="N29" s="140">
        <v>48436</v>
      </c>
      <c r="O29" s="140">
        <v>44648</v>
      </c>
      <c r="P29" s="140">
        <v>8609</v>
      </c>
      <c r="Q29" s="140">
        <v>57672</v>
      </c>
      <c r="R29" s="140">
        <v>12968</v>
      </c>
      <c r="S29" s="140">
        <v>102182</v>
      </c>
      <c r="T29" s="140">
        <v>33826</v>
      </c>
      <c r="U29" s="140">
        <v>19528</v>
      </c>
      <c r="V29" s="140">
        <v>9028</v>
      </c>
    </row>
    <row r="30" spans="1:23" ht="60.75" hidden="1" customHeight="1" x14ac:dyDescent="0.2">
      <c r="A30" s="140">
        <v>12</v>
      </c>
      <c r="C30" s="140">
        <v>127571</v>
      </c>
      <c r="D30" s="140">
        <v>18446</v>
      </c>
      <c r="E30" s="140">
        <v>19242</v>
      </c>
      <c r="F30" s="140">
        <v>828482</v>
      </c>
      <c r="G30" s="140">
        <v>58074</v>
      </c>
      <c r="H30" s="140">
        <v>52848</v>
      </c>
      <c r="I30" s="140">
        <v>19961</v>
      </c>
      <c r="J30" s="140">
        <v>562568</v>
      </c>
      <c r="K30" s="140">
        <v>104608</v>
      </c>
      <c r="L30" s="140">
        <v>112143</v>
      </c>
      <c r="M30" s="140">
        <v>59377</v>
      </c>
      <c r="N30" s="140">
        <v>49393</v>
      </c>
      <c r="O30" s="140">
        <v>43188</v>
      </c>
      <c r="P30" s="140">
        <v>8509</v>
      </c>
      <c r="Q30" s="140">
        <v>55282</v>
      </c>
      <c r="R30" s="140">
        <v>11509</v>
      </c>
      <c r="S30" s="140">
        <v>96300</v>
      </c>
      <c r="T30" s="140">
        <v>34190</v>
      </c>
      <c r="U30" s="140">
        <v>18165</v>
      </c>
      <c r="V30" s="140">
        <v>9585</v>
      </c>
      <c r="W30" s="140">
        <v>912</v>
      </c>
    </row>
    <row r="31" spans="1:23" ht="60.75" hidden="1" customHeight="1" x14ac:dyDescent="0.2">
      <c r="A31" s="140" t="s">
        <v>1075</v>
      </c>
      <c r="C31" s="140">
        <v>1386709</v>
      </c>
      <c r="D31" s="140">
        <v>260989</v>
      </c>
      <c r="E31" s="140">
        <v>268326</v>
      </c>
      <c r="F31" s="140">
        <v>9838849</v>
      </c>
      <c r="G31" s="140">
        <v>753297</v>
      </c>
      <c r="H31" s="140">
        <v>659233</v>
      </c>
      <c r="I31" s="140">
        <v>226551</v>
      </c>
      <c r="J31" s="140">
        <v>7286551</v>
      </c>
      <c r="K31" s="140">
        <v>1335012</v>
      </c>
      <c r="L31" s="140">
        <v>1402369</v>
      </c>
      <c r="M31" s="140">
        <v>731169</v>
      </c>
      <c r="N31" s="140">
        <v>622845</v>
      </c>
      <c r="O31" s="140">
        <v>516461</v>
      </c>
      <c r="P31" s="140">
        <v>102993</v>
      </c>
      <c r="Q31" s="140">
        <v>597230</v>
      </c>
      <c r="R31" s="140">
        <v>147640</v>
      </c>
      <c r="S31" s="140">
        <v>1239740</v>
      </c>
      <c r="T31" s="140">
        <v>432009</v>
      </c>
      <c r="U31" s="140">
        <v>257508</v>
      </c>
      <c r="V31" s="140">
        <v>26587</v>
      </c>
      <c r="W31" s="140">
        <v>912</v>
      </c>
    </row>
    <row r="32" spans="1:23" ht="60.75" hidden="1" customHeight="1" x14ac:dyDescent="0.2"/>
    <row r="33" spans="5:5" ht="60.75" customHeight="1" x14ac:dyDescent="0.2">
      <c r="E33" s="769"/>
    </row>
  </sheetData>
  <mergeCells count="3">
    <mergeCell ref="A1:W1"/>
    <mergeCell ref="A16:W16"/>
    <mergeCell ref="A17:W17"/>
  </mergeCells>
  <printOptions horizontalCentered="1" verticalCentered="1"/>
  <pageMargins left="0.39370078740157483" right="0.39370078740157483" top="0.78740157480314965" bottom="0.78740157480314965" header="0" footer="0"/>
  <pageSetup paperSize="9" scale="5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/>
  </sheetPr>
  <dimension ref="A18:O46"/>
  <sheetViews>
    <sheetView rightToLeft="1" topLeftCell="A6" zoomScale="115" zoomScaleNormal="115" workbookViewId="0">
      <selection activeCell="A19" sqref="A19:A20"/>
    </sheetView>
  </sheetViews>
  <sheetFormatPr defaultColWidth="10.625" defaultRowHeight="15.75" x14ac:dyDescent="0.4"/>
  <cols>
    <col min="1" max="1" width="21.75" style="141" customWidth="1"/>
    <col min="2" max="3" width="18.375" style="141" customWidth="1"/>
    <col min="4" max="5" width="15.875" style="141" customWidth="1"/>
    <col min="6" max="6" width="0" style="141" hidden="1" customWidth="1"/>
    <col min="7" max="7" width="10" style="141" hidden="1" customWidth="1"/>
    <col min="8" max="9" width="0" style="141" hidden="1" customWidth="1"/>
    <col min="10" max="11" width="10.625" style="141"/>
    <col min="12" max="12" width="10.75" style="141" bestFit="1" customWidth="1"/>
    <col min="13" max="13" width="9.625" style="141" bestFit="1" customWidth="1"/>
    <col min="14" max="14" width="14.125" style="141" bestFit="1" customWidth="1"/>
    <col min="15" max="15" width="12.375" style="141" bestFit="1" customWidth="1"/>
    <col min="16" max="16384" width="10.625" style="141"/>
  </cols>
  <sheetData>
    <row r="18" spans="1:15" ht="24.75" thickBot="1" x14ac:dyDescent="0.45">
      <c r="A18" s="2847" t="s">
        <v>1857</v>
      </c>
      <c r="B18" s="2847"/>
      <c r="C18" s="2847"/>
      <c r="D18" s="2847"/>
      <c r="E18" s="2847"/>
    </row>
    <row r="19" spans="1:15" ht="16.5" thickBot="1" x14ac:dyDescent="0.45">
      <c r="A19" s="2787" t="s">
        <v>118</v>
      </c>
      <c r="B19" s="2789" t="s">
        <v>38</v>
      </c>
      <c r="C19" s="2766"/>
      <c r="D19" s="2849" t="s">
        <v>442</v>
      </c>
      <c r="E19" s="2770" t="s">
        <v>406</v>
      </c>
    </row>
    <row r="20" spans="1:15" ht="20.25" thickBot="1" x14ac:dyDescent="0.55000000000000004">
      <c r="A20" s="2848"/>
      <c r="B20" s="770">
        <v>1402</v>
      </c>
      <c r="C20" s="770">
        <v>1403</v>
      </c>
      <c r="D20" s="2850"/>
      <c r="E20" s="2786"/>
      <c r="H20" s="771">
        <v>21147560</v>
      </c>
    </row>
    <row r="21" spans="1:15" ht="16.5" customHeight="1" x14ac:dyDescent="0.5">
      <c r="A21" s="323" t="s">
        <v>107</v>
      </c>
      <c r="B21" s="772">
        <v>1535840</v>
      </c>
      <c r="C21" s="772">
        <v>1470510</v>
      </c>
      <c r="D21" s="773">
        <f t="shared" ref="D21:D42" si="0">C21-B21</f>
        <v>-65330</v>
      </c>
      <c r="E21" s="774">
        <f t="shared" ref="E21:E42" si="1">D21/B21</f>
        <v>-4.2536983019064487E-2</v>
      </c>
      <c r="F21" s="141" t="s">
        <v>1054</v>
      </c>
      <c r="G21" s="141">
        <v>1386709</v>
      </c>
      <c r="H21" s="775"/>
      <c r="J21" s="776"/>
      <c r="K21" s="777"/>
    </row>
    <row r="22" spans="1:15" ht="16.5" customHeight="1" x14ac:dyDescent="0.5">
      <c r="A22" s="323" t="s">
        <v>112</v>
      </c>
      <c r="B22" s="778">
        <v>268122</v>
      </c>
      <c r="C22" s="778">
        <v>294625</v>
      </c>
      <c r="D22" s="773">
        <f t="shared" si="0"/>
        <v>26503</v>
      </c>
      <c r="E22" s="779">
        <f t="shared" si="1"/>
        <v>9.8846793623798127E-2</v>
      </c>
      <c r="F22" s="141" t="s">
        <v>1055</v>
      </c>
      <c r="G22" s="141">
        <v>260989</v>
      </c>
      <c r="H22" s="775">
        <v>6686140</v>
      </c>
      <c r="J22" s="776"/>
      <c r="K22" s="777"/>
    </row>
    <row r="23" spans="1:15" ht="16.5" customHeight="1" x14ac:dyDescent="0.5">
      <c r="A23" s="323" t="s">
        <v>198</v>
      </c>
      <c r="B23" s="778">
        <v>474367</v>
      </c>
      <c r="C23" s="778">
        <v>449020</v>
      </c>
      <c r="D23" s="773">
        <f t="shared" si="0"/>
        <v>-25347</v>
      </c>
      <c r="E23" s="779">
        <f t="shared" si="1"/>
        <v>-5.3433312182339834E-2</v>
      </c>
      <c r="F23" s="141" t="s">
        <v>1056</v>
      </c>
      <c r="G23" s="141">
        <v>268326</v>
      </c>
      <c r="H23" s="775">
        <v>93020810</v>
      </c>
      <c r="J23" s="776"/>
      <c r="K23" s="777"/>
    </row>
    <row r="24" spans="1:15" ht="16.5" customHeight="1" x14ac:dyDescent="0.5">
      <c r="A24" s="323" t="s">
        <v>102</v>
      </c>
      <c r="B24" s="778">
        <v>10887078</v>
      </c>
      <c r="C24" s="778">
        <v>10454150</v>
      </c>
      <c r="D24" s="773">
        <f t="shared" si="0"/>
        <v>-432928</v>
      </c>
      <c r="E24" s="779">
        <f t="shared" si="1"/>
        <v>-3.9765307091581416E-2</v>
      </c>
      <c r="F24" s="141" t="s">
        <v>1057</v>
      </c>
      <c r="G24" s="141">
        <v>9838849</v>
      </c>
      <c r="H24" s="775">
        <v>9669040</v>
      </c>
      <c r="J24" s="776"/>
      <c r="K24" s="777"/>
    </row>
    <row r="25" spans="1:15" ht="16.5" customHeight="1" x14ac:dyDescent="0.5">
      <c r="A25" s="323" t="s">
        <v>199</v>
      </c>
      <c r="B25" s="778">
        <v>828548</v>
      </c>
      <c r="C25" s="778">
        <v>770087</v>
      </c>
      <c r="D25" s="773">
        <f t="shared" si="0"/>
        <v>-58461</v>
      </c>
      <c r="E25" s="779">
        <f t="shared" si="1"/>
        <v>-7.0558374409207439E-2</v>
      </c>
      <c r="F25" s="141" t="s">
        <v>1058</v>
      </c>
      <c r="G25" s="141">
        <v>753297</v>
      </c>
      <c r="H25" s="775">
        <v>12114390</v>
      </c>
      <c r="J25" s="776"/>
      <c r="K25" s="777"/>
    </row>
    <row r="26" spans="1:15" ht="16.5" customHeight="1" x14ac:dyDescent="0.5">
      <c r="A26" s="780" t="s">
        <v>113</v>
      </c>
      <c r="B26" s="778">
        <v>967170</v>
      </c>
      <c r="C26" s="778">
        <v>860164</v>
      </c>
      <c r="D26" s="773">
        <f t="shared" si="0"/>
        <v>-107006</v>
      </c>
      <c r="E26" s="779">
        <f t="shared" si="1"/>
        <v>-0.11063825387470662</v>
      </c>
      <c r="F26" s="141" t="s">
        <v>1059</v>
      </c>
      <c r="G26" s="141">
        <v>659233</v>
      </c>
      <c r="H26" s="775">
        <v>68046900</v>
      </c>
      <c r="J26" s="776"/>
      <c r="K26" s="777"/>
    </row>
    <row r="27" spans="1:15" ht="16.5" customHeight="1" x14ac:dyDescent="0.5">
      <c r="A27" s="323" t="s">
        <v>589</v>
      </c>
      <c r="B27" s="778">
        <v>433968</v>
      </c>
      <c r="C27" s="778">
        <v>396634</v>
      </c>
      <c r="D27" s="773">
        <f t="shared" si="0"/>
        <v>-37334</v>
      </c>
      <c r="E27" s="779">
        <f t="shared" si="1"/>
        <v>-8.6029384655089775E-2</v>
      </c>
      <c r="F27" s="141" t="s">
        <v>1060</v>
      </c>
      <c r="G27" s="141">
        <v>226551</v>
      </c>
      <c r="H27" s="775"/>
      <c r="J27" s="776"/>
      <c r="K27" s="777"/>
    </row>
    <row r="28" spans="1:15" ht="16.5" customHeight="1" x14ac:dyDescent="0.5">
      <c r="A28" s="323" t="s">
        <v>590</v>
      </c>
      <c r="B28" s="778">
        <v>414134</v>
      </c>
      <c r="C28" s="778">
        <v>309440</v>
      </c>
      <c r="D28" s="773">
        <f t="shared" si="0"/>
        <v>-104694</v>
      </c>
      <c r="E28" s="779">
        <f t="shared" si="1"/>
        <v>-0.25280223309363636</v>
      </c>
      <c r="F28" s="141" t="s">
        <v>1061</v>
      </c>
      <c r="G28" s="141">
        <v>7286551</v>
      </c>
      <c r="H28" s="775">
        <v>18988500</v>
      </c>
      <c r="J28" s="776"/>
      <c r="K28" s="777"/>
    </row>
    <row r="29" spans="1:15" ht="16.5" customHeight="1" x14ac:dyDescent="0.5">
      <c r="A29" s="323" t="s">
        <v>99</v>
      </c>
      <c r="B29" s="778">
        <v>8418329</v>
      </c>
      <c r="C29" s="778">
        <v>7824725</v>
      </c>
      <c r="D29" s="773">
        <f t="shared" si="0"/>
        <v>-593604</v>
      </c>
      <c r="E29" s="779">
        <f t="shared" si="1"/>
        <v>-7.0513281198679695E-2</v>
      </c>
      <c r="F29" s="141" t="s">
        <v>1062</v>
      </c>
      <c r="G29" s="141">
        <v>1335012</v>
      </c>
      <c r="H29" s="775">
        <v>211750</v>
      </c>
      <c r="J29" s="776"/>
      <c r="K29" s="777"/>
    </row>
    <row r="30" spans="1:15" ht="16.5" customHeight="1" x14ac:dyDescent="0.5">
      <c r="A30" s="323" t="s">
        <v>110</v>
      </c>
      <c r="B30" s="778">
        <v>841540</v>
      </c>
      <c r="C30" s="778">
        <v>871526</v>
      </c>
      <c r="D30" s="773">
        <f t="shared" si="0"/>
        <v>29986</v>
      </c>
      <c r="E30" s="779">
        <f t="shared" si="1"/>
        <v>3.5632293176794921E-2</v>
      </c>
      <c r="F30" s="141" t="s">
        <v>1063</v>
      </c>
      <c r="G30" s="141">
        <v>1402369</v>
      </c>
      <c r="H30" s="775"/>
      <c r="J30" s="776"/>
      <c r="K30" s="777"/>
    </row>
    <row r="31" spans="1:15" ht="16.5" customHeight="1" x14ac:dyDescent="0.5">
      <c r="A31" s="323" t="s">
        <v>201</v>
      </c>
      <c r="B31" s="778">
        <v>1365142</v>
      </c>
      <c r="C31" s="778">
        <v>1139037</v>
      </c>
      <c r="D31" s="773">
        <f t="shared" si="0"/>
        <v>-226105</v>
      </c>
      <c r="E31" s="779">
        <f t="shared" si="1"/>
        <v>-0.16562745853544905</v>
      </c>
      <c r="F31" s="141" t="s">
        <v>1064</v>
      </c>
      <c r="G31" s="141">
        <v>731169</v>
      </c>
      <c r="H31" s="775"/>
      <c r="J31" s="776"/>
      <c r="K31" s="777"/>
    </row>
    <row r="32" spans="1:15" ht="16.5" customHeight="1" x14ac:dyDescent="0.5">
      <c r="A32" s="323" t="s">
        <v>97</v>
      </c>
      <c r="B32" s="778">
        <v>858972</v>
      </c>
      <c r="C32" s="778">
        <v>739754</v>
      </c>
      <c r="D32" s="773">
        <f t="shared" si="0"/>
        <v>-119218</v>
      </c>
      <c r="E32" s="779">
        <f t="shared" si="1"/>
        <v>-0.13879148563631877</v>
      </c>
      <c r="F32" s="141" t="s">
        <v>1065</v>
      </c>
      <c r="G32" s="141">
        <v>622845</v>
      </c>
      <c r="H32" s="775"/>
      <c r="J32" s="776"/>
      <c r="K32" s="777"/>
      <c r="L32" s="150"/>
      <c r="M32" s="150"/>
      <c r="N32" s="150"/>
      <c r="O32" s="150"/>
    </row>
    <row r="33" spans="1:15" ht="16.5" customHeight="1" x14ac:dyDescent="0.5">
      <c r="A33" s="323" t="s">
        <v>95</v>
      </c>
      <c r="B33" s="778">
        <v>490320</v>
      </c>
      <c r="C33" s="778">
        <v>493413</v>
      </c>
      <c r="D33" s="773">
        <f t="shared" si="0"/>
        <v>3093</v>
      </c>
      <c r="E33" s="779">
        <f t="shared" si="1"/>
        <v>6.3081253059226626E-3</v>
      </c>
      <c r="F33" s="141" t="s">
        <v>1066</v>
      </c>
      <c r="G33" s="141">
        <v>516461</v>
      </c>
      <c r="H33" s="775"/>
      <c r="J33" s="776"/>
      <c r="K33" s="777"/>
      <c r="L33" s="150"/>
      <c r="M33" s="150"/>
      <c r="N33" s="150"/>
      <c r="O33" s="150"/>
    </row>
    <row r="34" spans="1:15" ht="16.5" customHeight="1" x14ac:dyDescent="0.5">
      <c r="A34" s="323" t="s">
        <v>105</v>
      </c>
      <c r="B34" s="778">
        <v>570498</v>
      </c>
      <c r="C34" s="778">
        <v>608114</v>
      </c>
      <c r="D34" s="773">
        <f t="shared" si="0"/>
        <v>37616</v>
      </c>
      <c r="E34" s="779">
        <f t="shared" si="1"/>
        <v>6.5935375759424222E-2</v>
      </c>
      <c r="F34" s="141" t="s">
        <v>1067</v>
      </c>
      <c r="G34" s="141">
        <v>102993</v>
      </c>
      <c r="H34" s="775"/>
      <c r="J34" s="776"/>
      <c r="K34" s="777"/>
      <c r="L34" s="150"/>
      <c r="M34" s="150"/>
      <c r="N34" s="150"/>
      <c r="O34" s="150"/>
    </row>
    <row r="35" spans="1:15" ht="16.5" customHeight="1" x14ac:dyDescent="0.5">
      <c r="A35" s="323" t="s">
        <v>106</v>
      </c>
      <c r="B35" s="778">
        <v>209272</v>
      </c>
      <c r="C35" s="778">
        <v>212437</v>
      </c>
      <c r="D35" s="773">
        <f t="shared" si="0"/>
        <v>3165</v>
      </c>
      <c r="E35" s="779">
        <f t="shared" si="1"/>
        <v>1.5123857945640124E-2</v>
      </c>
      <c r="F35" s="141" t="s">
        <v>1068</v>
      </c>
      <c r="G35" s="141">
        <v>597230</v>
      </c>
      <c r="H35" s="775">
        <v>10380310</v>
      </c>
      <c r="J35" s="776"/>
      <c r="K35" s="777"/>
      <c r="L35" s="150"/>
      <c r="M35" s="150"/>
      <c r="N35" s="150"/>
      <c r="O35" s="150"/>
    </row>
    <row r="36" spans="1:15" ht="16.5" customHeight="1" x14ac:dyDescent="0.5">
      <c r="A36" s="323" t="s">
        <v>101</v>
      </c>
      <c r="B36" s="778">
        <v>531122</v>
      </c>
      <c r="C36" s="778">
        <v>481688</v>
      </c>
      <c r="D36" s="773">
        <f t="shared" si="0"/>
        <v>-49434</v>
      </c>
      <c r="E36" s="779">
        <f t="shared" si="1"/>
        <v>-9.3074660812393392E-2</v>
      </c>
      <c r="F36" s="141" t="s">
        <v>1069</v>
      </c>
      <c r="G36" s="141">
        <v>147640</v>
      </c>
      <c r="H36" s="775">
        <v>9330080</v>
      </c>
      <c r="J36" s="776"/>
      <c r="K36" s="777"/>
    </row>
    <row r="37" spans="1:15" ht="16.5" customHeight="1" x14ac:dyDescent="0.5">
      <c r="A37" s="323" t="s">
        <v>96</v>
      </c>
      <c r="B37" s="778">
        <v>202540</v>
      </c>
      <c r="C37" s="778">
        <v>191487</v>
      </c>
      <c r="D37" s="773">
        <f t="shared" si="0"/>
        <v>-11053</v>
      </c>
      <c r="E37" s="779">
        <f t="shared" si="1"/>
        <v>-5.4571936407623187E-2</v>
      </c>
      <c r="F37" s="141" t="s">
        <v>1072</v>
      </c>
      <c r="G37" s="141">
        <v>257508</v>
      </c>
      <c r="H37" s="775">
        <v>5880320</v>
      </c>
      <c r="J37" s="776"/>
      <c r="K37" s="777"/>
    </row>
    <row r="38" spans="1:15" ht="17.25" customHeight="1" x14ac:dyDescent="0.45">
      <c r="A38" s="323" t="s">
        <v>104</v>
      </c>
      <c r="B38" s="778">
        <v>282085</v>
      </c>
      <c r="C38" s="778">
        <v>245292</v>
      </c>
      <c r="D38" s="773">
        <f t="shared" si="0"/>
        <v>-36793</v>
      </c>
      <c r="E38" s="779">
        <f t="shared" si="1"/>
        <v>-0.13043231650034565</v>
      </c>
      <c r="F38" s="141" t="s">
        <v>1070</v>
      </c>
      <c r="G38" s="141">
        <v>1239740</v>
      </c>
      <c r="J38" s="776"/>
      <c r="K38" s="777"/>
    </row>
    <row r="39" spans="1:15" ht="15" customHeight="1" x14ac:dyDescent="0.45">
      <c r="A39" s="780" t="s">
        <v>108</v>
      </c>
      <c r="B39" s="778">
        <v>1540645</v>
      </c>
      <c r="C39" s="778">
        <v>1650248</v>
      </c>
      <c r="D39" s="773">
        <f t="shared" si="0"/>
        <v>109603</v>
      </c>
      <c r="E39" s="779">
        <f t="shared" si="1"/>
        <v>7.1140983159650673E-2</v>
      </c>
      <c r="F39" s="141" t="s">
        <v>1071</v>
      </c>
      <c r="G39" s="141">
        <v>432009</v>
      </c>
      <c r="J39" s="776"/>
      <c r="K39" s="777"/>
    </row>
    <row r="40" spans="1:15" ht="15" customHeight="1" x14ac:dyDescent="0.45">
      <c r="A40" s="780" t="s">
        <v>109</v>
      </c>
      <c r="B40" s="778">
        <v>280909</v>
      </c>
      <c r="C40" s="778">
        <v>289529</v>
      </c>
      <c r="D40" s="773">
        <f t="shared" si="0"/>
        <v>8620</v>
      </c>
      <c r="E40" s="779">
        <f t="shared" si="1"/>
        <v>3.0686094073169603E-2</v>
      </c>
      <c r="F40" s="141" t="s">
        <v>1073</v>
      </c>
      <c r="G40" s="141">
        <v>26587</v>
      </c>
      <c r="J40" s="776"/>
      <c r="K40" s="777"/>
    </row>
    <row r="41" spans="1:15" ht="15" customHeight="1" thickBot="1" x14ac:dyDescent="0.5">
      <c r="A41" s="780" t="s">
        <v>1051</v>
      </c>
      <c r="B41" s="778">
        <v>383526</v>
      </c>
      <c r="C41" s="778">
        <v>389104</v>
      </c>
      <c r="D41" s="773">
        <f t="shared" si="0"/>
        <v>5578</v>
      </c>
      <c r="E41" s="779">
        <f t="shared" si="1"/>
        <v>1.4543994409766222E-2</v>
      </c>
      <c r="F41" s="141" t="s">
        <v>1074</v>
      </c>
      <c r="G41" s="141">
        <v>912</v>
      </c>
      <c r="J41" s="776"/>
      <c r="K41" s="777"/>
    </row>
    <row r="42" spans="1:15" ht="19.5" thickBot="1" x14ac:dyDescent="0.45">
      <c r="A42" s="41" t="s">
        <v>170</v>
      </c>
      <c r="B42" s="781">
        <f>SUM(B21:B41)</f>
        <v>31784127</v>
      </c>
      <c r="C42" s="781">
        <f>SUM(C21:C41)</f>
        <v>30140984</v>
      </c>
      <c r="D42" s="782">
        <f t="shared" si="0"/>
        <v>-1643143</v>
      </c>
      <c r="E42" s="783">
        <f t="shared" si="1"/>
        <v>-5.1696968112416614E-2</v>
      </c>
      <c r="I42" s="784" t="s">
        <v>1075</v>
      </c>
      <c r="J42" s="776"/>
      <c r="K42" s="776"/>
      <c r="M42" s="785"/>
    </row>
    <row r="43" spans="1:15" x14ac:dyDescent="0.4">
      <c r="A43" s="2851" t="s">
        <v>1052</v>
      </c>
      <c r="B43" s="2851"/>
      <c r="C43" s="2851"/>
      <c r="D43" s="2851"/>
      <c r="E43" s="2851"/>
      <c r="H43" s="784"/>
      <c r="I43" s="784"/>
      <c r="J43" s="786"/>
      <c r="K43" s="786"/>
      <c r="M43" s="785"/>
    </row>
    <row r="44" spans="1:15" x14ac:dyDescent="0.4">
      <c r="A44" s="2846" t="s">
        <v>1053</v>
      </c>
      <c r="B44" s="2846"/>
      <c r="C44" s="2846"/>
      <c r="D44" s="2846"/>
      <c r="E44" s="2846"/>
      <c r="H44" s="784"/>
      <c r="I44" s="784"/>
      <c r="M44" s="785"/>
    </row>
    <row r="46" spans="1:15" x14ac:dyDescent="0.4">
      <c r="D46" s="787">
        <f>(C42/B42)-1</f>
        <v>-5.1696968112416641E-2</v>
      </c>
    </row>
  </sheetData>
  <mergeCells count="7">
    <mergeCell ref="A44:E44"/>
    <mergeCell ref="A18:E18"/>
    <mergeCell ref="A19:A20"/>
    <mergeCell ref="B19:C19"/>
    <mergeCell ref="D19:D20"/>
    <mergeCell ref="E19:E20"/>
    <mergeCell ref="A43:E43"/>
  </mergeCells>
  <printOptions horizontalCentered="1" verticalCentered="1"/>
  <pageMargins left="0.74803149606299213" right="0.74803149606299213" top="0.19685039370078741" bottom="0.98425196850393704" header="0.51181102362204722" footer="0.51181102362204722"/>
  <pageSetup paperSize="9" scale="95" firstPageNumber="121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3"/>
    <pageSetUpPr fitToPage="1"/>
  </sheetPr>
  <dimension ref="A1:AQ18"/>
  <sheetViews>
    <sheetView rightToLeft="1" topLeftCell="B1" zoomScale="85" zoomScaleNormal="85" zoomScaleSheetLayoutView="70" workbookViewId="0">
      <pane ySplit="3" topLeftCell="A4" activePane="bottomLeft" state="frozen"/>
      <selection activeCell="C20" sqref="C20"/>
      <selection pane="bottomLeft" activeCell="A2" sqref="A2:W2"/>
    </sheetView>
  </sheetViews>
  <sheetFormatPr defaultColWidth="10.625" defaultRowHeight="54" customHeight="1" x14ac:dyDescent="0.4"/>
  <cols>
    <col min="1" max="1" width="12.125" style="141" customWidth="1"/>
    <col min="2" max="2" width="9.75" style="141" customWidth="1"/>
    <col min="3" max="4" width="9.375" style="141" customWidth="1"/>
    <col min="5" max="5" width="11.375" style="141" customWidth="1"/>
    <col min="6" max="6" width="9.625" style="141" customWidth="1"/>
    <col min="7" max="7" width="9.75" style="141" customWidth="1"/>
    <col min="8" max="8" width="10.25" style="141" customWidth="1"/>
    <col min="9" max="9" width="11.375" style="141" customWidth="1"/>
    <col min="10" max="10" width="11.25" style="141" customWidth="1"/>
    <col min="11" max="11" width="9.625" style="141" customWidth="1"/>
    <col min="12" max="13" width="10" style="141" customWidth="1"/>
    <col min="14" max="14" width="9.75" style="141" customWidth="1"/>
    <col min="15" max="15" width="10" style="141" customWidth="1"/>
    <col min="16" max="16" width="10.75" style="141" customWidth="1"/>
    <col min="17" max="17" width="10.375" style="141" customWidth="1"/>
    <col min="18" max="18" width="10" style="141" customWidth="1"/>
    <col min="19" max="21" width="9.75" style="141" customWidth="1"/>
    <col min="22" max="22" width="9.625" style="141" customWidth="1"/>
    <col min="23" max="23" width="14" style="141" bestFit="1" customWidth="1"/>
    <col min="24" max="43" width="0" style="141" hidden="1" customWidth="1"/>
    <col min="44" max="16384" width="10.625" style="141"/>
  </cols>
  <sheetData>
    <row r="1" spans="1:43" ht="30.75" customHeight="1" x14ac:dyDescent="0.4">
      <c r="A1" s="2852" t="s">
        <v>1858</v>
      </c>
      <c r="B1" s="2852"/>
      <c r="C1" s="2852"/>
      <c r="D1" s="2852"/>
      <c r="E1" s="2852"/>
      <c r="F1" s="2852"/>
      <c r="G1" s="2852"/>
      <c r="H1" s="2852"/>
      <c r="I1" s="2852"/>
      <c r="J1" s="2852"/>
      <c r="K1" s="2852"/>
      <c r="L1" s="2852"/>
      <c r="M1" s="2852"/>
      <c r="N1" s="2852"/>
      <c r="O1" s="2852"/>
      <c r="P1" s="2852"/>
      <c r="Q1" s="2852"/>
      <c r="R1" s="2852"/>
      <c r="S1" s="2852"/>
      <c r="T1" s="2852"/>
      <c r="U1" s="2852"/>
      <c r="V1" s="2852"/>
      <c r="W1" s="2852"/>
      <c r="Y1" s="788"/>
      <c r="Z1" s="788"/>
      <c r="AA1" s="788"/>
      <c r="AB1" s="788"/>
      <c r="AC1" s="788"/>
      <c r="AD1" s="788"/>
      <c r="AE1" s="788"/>
      <c r="AF1" s="788"/>
      <c r="AG1" s="788"/>
      <c r="AH1" s="788"/>
      <c r="AI1" s="788"/>
      <c r="AJ1" s="788"/>
      <c r="AK1" s="788"/>
      <c r="AL1" s="788"/>
      <c r="AM1" s="788"/>
      <c r="AN1" s="788"/>
      <c r="AO1" s="788"/>
      <c r="AP1" s="788"/>
    </row>
    <row r="2" spans="1:43" ht="15" customHeight="1" thickBot="1" x14ac:dyDescent="0.45">
      <c r="A2" s="2853" t="s">
        <v>429</v>
      </c>
      <c r="B2" s="2853"/>
      <c r="C2" s="2853"/>
      <c r="D2" s="2853"/>
      <c r="E2" s="2853"/>
      <c r="F2" s="2853"/>
      <c r="G2" s="2853"/>
      <c r="H2" s="2853"/>
      <c r="I2" s="2853"/>
      <c r="J2" s="2853"/>
      <c r="K2" s="2853"/>
      <c r="L2" s="2853"/>
      <c r="M2" s="2853"/>
      <c r="N2" s="2853"/>
      <c r="O2" s="2853"/>
      <c r="P2" s="2853"/>
      <c r="Q2" s="2853"/>
      <c r="R2" s="2853"/>
      <c r="S2" s="2853"/>
      <c r="T2" s="2853"/>
      <c r="U2" s="2853"/>
      <c r="V2" s="2853"/>
      <c r="W2" s="2854"/>
    </row>
    <row r="3" spans="1:43" ht="87.75" customHeight="1" thickBot="1" x14ac:dyDescent="0.45">
      <c r="A3" s="756" t="s">
        <v>118</v>
      </c>
      <c r="B3" s="757" t="s">
        <v>107</v>
      </c>
      <c r="C3" s="758" t="s">
        <v>112</v>
      </c>
      <c r="D3" s="758" t="s">
        <v>198</v>
      </c>
      <c r="E3" s="758" t="s">
        <v>102</v>
      </c>
      <c r="F3" s="758" t="s">
        <v>199</v>
      </c>
      <c r="G3" s="758" t="s">
        <v>113</v>
      </c>
      <c r="H3" s="758" t="s">
        <v>589</v>
      </c>
      <c r="I3" s="758" t="s">
        <v>590</v>
      </c>
      <c r="J3" s="758" t="s">
        <v>99</v>
      </c>
      <c r="K3" s="758" t="s">
        <v>110</v>
      </c>
      <c r="L3" s="758" t="s">
        <v>201</v>
      </c>
      <c r="M3" s="758" t="s">
        <v>97</v>
      </c>
      <c r="N3" s="758" t="s">
        <v>95</v>
      </c>
      <c r="O3" s="758" t="s">
        <v>105</v>
      </c>
      <c r="P3" s="758" t="s">
        <v>106</v>
      </c>
      <c r="Q3" s="758" t="s">
        <v>101</v>
      </c>
      <c r="R3" s="758" t="s">
        <v>96</v>
      </c>
      <c r="S3" s="758" t="s">
        <v>104</v>
      </c>
      <c r="T3" s="760" t="s">
        <v>108</v>
      </c>
      <c r="U3" s="758" t="s">
        <v>109</v>
      </c>
      <c r="V3" s="758" t="s">
        <v>1051</v>
      </c>
      <c r="W3" s="756" t="s">
        <v>170</v>
      </c>
    </row>
    <row r="4" spans="1:43" ht="30.75" customHeight="1" x14ac:dyDescent="0.4">
      <c r="A4" s="761" t="s">
        <v>158</v>
      </c>
      <c r="B4" s="789">
        <v>61415.525000000001</v>
      </c>
      <c r="C4" s="789">
        <v>6059.0940000000001</v>
      </c>
      <c r="D4" s="789">
        <v>26904.452000000001</v>
      </c>
      <c r="E4" s="789">
        <v>339316.95799999998</v>
      </c>
      <c r="F4" s="789">
        <v>14161.735000000001</v>
      </c>
      <c r="G4" s="789">
        <v>25355.227999999999</v>
      </c>
      <c r="H4" s="789">
        <v>13340.118</v>
      </c>
      <c r="I4" s="789">
        <v>4888.3789999999999</v>
      </c>
      <c r="J4" s="789">
        <v>466147.12599999999</v>
      </c>
      <c r="K4" s="789">
        <v>28993.25</v>
      </c>
      <c r="L4" s="789">
        <v>47716.722000000002</v>
      </c>
      <c r="M4" s="789">
        <v>44735.303</v>
      </c>
      <c r="N4" s="789">
        <v>23667.618999999999</v>
      </c>
      <c r="O4" s="789">
        <v>34455.552000000003</v>
      </c>
      <c r="P4" s="789">
        <v>18062.794999999998</v>
      </c>
      <c r="Q4" s="789">
        <v>49245.088000000003</v>
      </c>
      <c r="R4" s="789">
        <v>8372.6010000000006</v>
      </c>
      <c r="S4" s="789">
        <v>22005.884999999998</v>
      </c>
      <c r="T4" s="789">
        <v>51951.514000000003</v>
      </c>
      <c r="U4" s="789">
        <v>16834.008000000002</v>
      </c>
      <c r="V4" s="789">
        <v>6416.5190000000002</v>
      </c>
      <c r="W4" s="790">
        <f>SUM(B4:V4)</f>
        <v>1310045.4709999997</v>
      </c>
      <c r="X4" s="141">
        <v>1324532.3290000004</v>
      </c>
      <c r="AQ4" s="150">
        <v>-24766.85999999987</v>
      </c>
    </row>
    <row r="5" spans="1:43" ht="30.75" customHeight="1" x14ac:dyDescent="0.4">
      <c r="A5" s="765" t="s">
        <v>159</v>
      </c>
      <c r="B5" s="789">
        <v>61171.320450655883</v>
      </c>
      <c r="C5" s="789">
        <v>5597.544883953753</v>
      </c>
      <c r="D5" s="789">
        <v>29260.671212943249</v>
      </c>
      <c r="E5" s="789">
        <v>353081.38435856556</v>
      </c>
      <c r="F5" s="789">
        <v>15070.186</v>
      </c>
      <c r="G5" s="789">
        <v>29896.22673906431</v>
      </c>
      <c r="H5" s="789">
        <v>16133.750496757075</v>
      </c>
      <c r="I5" s="789">
        <v>5336.9520000000002</v>
      </c>
      <c r="J5" s="789">
        <v>479731.07970075327</v>
      </c>
      <c r="K5" s="789">
        <v>32091.490989493857</v>
      </c>
      <c r="L5" s="789">
        <v>44656.963000000003</v>
      </c>
      <c r="M5" s="789">
        <v>51724.969762371045</v>
      </c>
      <c r="N5" s="789">
        <v>22678.907205122159</v>
      </c>
      <c r="O5" s="789">
        <v>35384.726974915953</v>
      </c>
      <c r="P5" s="789">
        <v>16716.928</v>
      </c>
      <c r="Q5" s="789">
        <v>43780.065474786141</v>
      </c>
      <c r="R5" s="789">
        <v>8117.9106737034344</v>
      </c>
      <c r="S5" s="789">
        <v>22803.302405192895</v>
      </c>
      <c r="T5" s="789">
        <v>59991.659365600812</v>
      </c>
      <c r="U5" s="789">
        <v>16317.142</v>
      </c>
      <c r="V5" s="789">
        <v>6884.3016351721353</v>
      </c>
      <c r="W5" s="790">
        <f t="shared" ref="W5:W15" si="0">SUM(B5:V5)</f>
        <v>1356427.4833290521</v>
      </c>
      <c r="X5" s="141">
        <v>1137956.3240000005</v>
      </c>
      <c r="AQ5" s="150">
        <v>-346276.16999999969</v>
      </c>
    </row>
    <row r="6" spans="1:43" ht="30.75" customHeight="1" x14ac:dyDescent="0.4">
      <c r="A6" s="765" t="s">
        <v>160</v>
      </c>
      <c r="B6" s="789">
        <v>57144.795450655882</v>
      </c>
      <c r="C6" s="789">
        <v>6139.8718839537532</v>
      </c>
      <c r="D6" s="789">
        <v>28369.023212943248</v>
      </c>
      <c r="E6" s="789">
        <v>339662.61140645779</v>
      </c>
      <c r="F6" s="789">
        <v>14945.143</v>
      </c>
      <c r="G6" s="789">
        <v>29274.58473906431</v>
      </c>
      <c r="H6" s="789">
        <v>16032.803496757075</v>
      </c>
      <c r="I6" s="789">
        <v>5657.8220000000001</v>
      </c>
      <c r="J6" s="789">
        <v>475500.28770075325</v>
      </c>
      <c r="K6" s="789">
        <v>29981.101899461672</v>
      </c>
      <c r="L6" s="789">
        <v>47073.648999999998</v>
      </c>
      <c r="M6" s="789">
        <v>51544.499762371051</v>
      </c>
      <c r="N6" s="789">
        <v>26533.206205122158</v>
      </c>
      <c r="O6" s="789">
        <v>34862.902974915953</v>
      </c>
      <c r="P6" s="789">
        <v>18851.448</v>
      </c>
      <c r="Q6" s="789">
        <v>44004.193474786138</v>
      </c>
      <c r="R6" s="789">
        <v>8711.8576737034291</v>
      </c>
      <c r="S6" s="789">
        <v>19533.537405192896</v>
      </c>
      <c r="T6" s="789">
        <v>63946.940365600807</v>
      </c>
      <c r="U6" s="789">
        <v>16666.756000000001</v>
      </c>
      <c r="V6" s="789">
        <v>7023.1646351721356</v>
      </c>
      <c r="W6" s="790">
        <f t="shared" si="0"/>
        <v>1341460.2002869116</v>
      </c>
      <c r="X6" s="141">
        <v>996426.69100000034</v>
      </c>
      <c r="AQ6" s="150">
        <v>-469731.39799999958</v>
      </c>
    </row>
    <row r="7" spans="1:43" ht="30.75" customHeight="1" x14ac:dyDescent="0.4">
      <c r="A7" s="765" t="s">
        <v>161</v>
      </c>
      <c r="B7" s="789">
        <v>57349.614450655885</v>
      </c>
      <c r="C7" s="789">
        <v>5974.5648839537525</v>
      </c>
      <c r="D7" s="789">
        <v>24169.418212943248</v>
      </c>
      <c r="E7" s="789">
        <v>341205.51440645778</v>
      </c>
      <c r="F7" s="789">
        <v>14856.632</v>
      </c>
      <c r="G7" s="789">
        <v>27506.953739064309</v>
      </c>
      <c r="H7" s="789">
        <v>15771.970496757076</v>
      </c>
      <c r="I7" s="789">
        <v>5675.42</v>
      </c>
      <c r="J7" s="789">
        <v>471076.05070075329</v>
      </c>
      <c r="K7" s="789">
        <v>33999.928989493856</v>
      </c>
      <c r="L7" s="789">
        <v>50347.438000000002</v>
      </c>
      <c r="M7" s="789">
        <v>49979.54676237105</v>
      </c>
      <c r="N7" s="789">
        <v>25312.994205122159</v>
      </c>
      <c r="O7" s="789">
        <v>35515.783974915954</v>
      </c>
      <c r="P7" s="789">
        <v>20068.79</v>
      </c>
      <c r="Q7" s="789">
        <v>40592.179474786142</v>
      </c>
      <c r="R7" s="789">
        <v>8414.2986737034353</v>
      </c>
      <c r="S7" s="789">
        <v>20114.792405192897</v>
      </c>
      <c r="T7" s="789">
        <v>66338.674365600804</v>
      </c>
      <c r="U7" s="789">
        <v>15827.137000000001</v>
      </c>
      <c r="V7" s="789">
        <v>6979.844635172135</v>
      </c>
      <c r="W7" s="790">
        <f t="shared" si="0"/>
        <v>1337077.5473769438</v>
      </c>
      <c r="X7" s="141">
        <v>1382822.4299999997</v>
      </c>
      <c r="AQ7" s="150">
        <v>-6955.9310000005644</v>
      </c>
    </row>
    <row r="8" spans="1:43" ht="30.75" customHeight="1" x14ac:dyDescent="0.4">
      <c r="A8" s="765" t="s">
        <v>162</v>
      </c>
      <c r="B8" s="789">
        <v>64724.787450655887</v>
      </c>
      <c r="C8" s="789">
        <v>5867.2258839537526</v>
      </c>
      <c r="D8" s="789">
        <v>25138.457212943249</v>
      </c>
      <c r="E8" s="789">
        <v>335326.77740645775</v>
      </c>
      <c r="F8" s="789">
        <v>15358.34</v>
      </c>
      <c r="G8" s="789">
        <v>25260.161739064311</v>
      </c>
      <c r="H8" s="789">
        <v>15318.526496757075</v>
      </c>
      <c r="I8" s="789">
        <v>5567.5789999999997</v>
      </c>
      <c r="J8" s="789">
        <v>461203.68970075325</v>
      </c>
      <c r="K8" s="789">
        <v>32815.504899461674</v>
      </c>
      <c r="L8" s="789">
        <v>47010.671000000002</v>
      </c>
      <c r="M8" s="789">
        <v>48067.266762371051</v>
      </c>
      <c r="N8" s="789">
        <v>20537.657205122159</v>
      </c>
      <c r="O8" s="789">
        <v>35736.408974915954</v>
      </c>
      <c r="P8" s="789">
        <v>21278.637999999999</v>
      </c>
      <c r="Q8" s="789">
        <v>38057.327474786143</v>
      </c>
      <c r="R8" s="789">
        <v>8641.5506737034284</v>
      </c>
      <c r="S8" s="789">
        <v>17692.431405192896</v>
      </c>
      <c r="T8" s="789">
        <v>65003.574365600813</v>
      </c>
      <c r="U8" s="789">
        <v>15217.81</v>
      </c>
      <c r="V8" s="789">
        <v>6716.0246351721353</v>
      </c>
      <c r="W8" s="790">
        <f t="shared" si="0"/>
        <v>1310540.4102869115</v>
      </c>
      <c r="X8" s="141">
        <v>1541207.6139999989</v>
      </c>
      <c r="AQ8" s="150">
        <v>162253.14899999858</v>
      </c>
    </row>
    <row r="9" spans="1:43" ht="30.75" customHeight="1" x14ac:dyDescent="0.4">
      <c r="A9" s="765" t="s">
        <v>163</v>
      </c>
      <c r="B9" s="789">
        <v>63706.681707956275</v>
      </c>
      <c r="C9" s="789">
        <v>6102.2581351582703</v>
      </c>
      <c r="D9" s="789">
        <v>24504.729977801624</v>
      </c>
      <c r="E9" s="789">
        <v>350313.00347932178</v>
      </c>
      <c r="F9" s="789">
        <v>16186.992</v>
      </c>
      <c r="G9" s="789">
        <v>22640.551672445905</v>
      </c>
      <c r="H9" s="789">
        <v>15846.170294293674</v>
      </c>
      <c r="I9" s="789">
        <v>5936.991</v>
      </c>
      <c r="J9" s="789">
        <v>461856.93031151191</v>
      </c>
      <c r="K9" s="789">
        <v>34586.655557653234</v>
      </c>
      <c r="L9" s="789">
        <v>50450.586000000003</v>
      </c>
      <c r="M9" s="789">
        <v>45418.41510117297</v>
      </c>
      <c r="N9" s="789">
        <v>19840.168737744389</v>
      </c>
      <c r="O9" s="789">
        <v>36230.482974915954</v>
      </c>
      <c r="P9" s="789">
        <v>20561.839</v>
      </c>
      <c r="Q9" s="789">
        <v>36043.356474786138</v>
      </c>
      <c r="R9" s="789">
        <v>8889.9586737034278</v>
      </c>
      <c r="S9" s="789">
        <v>18197.419591284255</v>
      </c>
      <c r="T9" s="789">
        <v>65832.79227804947</v>
      </c>
      <c r="U9" s="789">
        <v>15157.859</v>
      </c>
      <c r="V9" s="789">
        <v>6868.3586787389668</v>
      </c>
      <c r="W9" s="790">
        <f t="shared" si="0"/>
        <v>1325172.2006465383</v>
      </c>
      <c r="X9" s="141">
        <v>1532814.1820000005</v>
      </c>
      <c r="AQ9" s="150">
        <v>57795.915000000503</v>
      </c>
    </row>
    <row r="10" spans="1:43" ht="30.75" customHeight="1" x14ac:dyDescent="0.4">
      <c r="A10" s="765" t="s">
        <v>164</v>
      </c>
      <c r="B10" s="789">
        <v>53037.949313535464</v>
      </c>
      <c r="C10" s="789">
        <v>5928.2176275016354</v>
      </c>
      <c r="D10" s="789">
        <v>22373.93054071386</v>
      </c>
      <c r="E10" s="789">
        <v>330572.30901666195</v>
      </c>
      <c r="F10" s="789">
        <v>14476.94</v>
      </c>
      <c r="G10" s="789">
        <v>27687.688001979917</v>
      </c>
      <c r="H10" s="789">
        <v>15335.443912105782</v>
      </c>
      <c r="I10" s="789">
        <v>5351.7870000000003</v>
      </c>
      <c r="J10" s="789">
        <v>460465.26226146525</v>
      </c>
      <c r="K10" s="789">
        <v>32169.547337969958</v>
      </c>
      <c r="L10" s="789">
        <v>47966.887000000002</v>
      </c>
      <c r="M10" s="789">
        <v>44874.853307468387</v>
      </c>
      <c r="N10" s="789">
        <v>21952.708198165161</v>
      </c>
      <c r="O10" s="789">
        <v>35101.070489410646</v>
      </c>
      <c r="P10" s="789">
        <v>17340.949000000001</v>
      </c>
      <c r="Q10" s="789">
        <v>37397.291474786143</v>
      </c>
      <c r="R10" s="789">
        <v>8242.997673703434</v>
      </c>
      <c r="S10" s="789">
        <v>17982.44232061294</v>
      </c>
      <c r="T10" s="789">
        <v>60111.929714721038</v>
      </c>
      <c r="U10" s="789">
        <v>14466.194</v>
      </c>
      <c r="V10" s="789">
        <v>6701.9183722376902</v>
      </c>
      <c r="W10" s="790">
        <f t="shared" si="0"/>
        <v>1279538.3165630389</v>
      </c>
      <c r="X10" s="141">
        <v>1210190.9749999996</v>
      </c>
      <c r="AQ10" s="150">
        <v>-190869.64700000035</v>
      </c>
    </row>
    <row r="11" spans="1:43" ht="30.75" customHeight="1" x14ac:dyDescent="0.4">
      <c r="A11" s="765" t="s">
        <v>520</v>
      </c>
      <c r="B11" s="789">
        <v>52831.388570835858</v>
      </c>
      <c r="C11" s="789">
        <v>5656.6948787061538</v>
      </c>
      <c r="D11" s="789">
        <v>22972.075305572238</v>
      </c>
      <c r="E11" s="789">
        <v>332350.66108952597</v>
      </c>
      <c r="F11" s="789">
        <v>14209.959000000001</v>
      </c>
      <c r="G11" s="789">
        <v>27446.032935361513</v>
      </c>
      <c r="H11" s="789">
        <v>14561.014709642381</v>
      </c>
      <c r="I11" s="789">
        <v>5259.0309999999999</v>
      </c>
      <c r="J11" s="789">
        <v>445476.98987222393</v>
      </c>
      <c r="K11" s="789">
        <v>32060.459996161509</v>
      </c>
      <c r="L11" s="789">
        <v>49442.125999999997</v>
      </c>
      <c r="M11" s="789">
        <v>44070.944646270305</v>
      </c>
      <c r="N11" s="789">
        <v>21231.77273078739</v>
      </c>
      <c r="O11" s="789">
        <v>34361.675489410649</v>
      </c>
      <c r="P11" s="789">
        <v>17629.397000000001</v>
      </c>
      <c r="Q11" s="789">
        <v>41618.75847478614</v>
      </c>
      <c r="R11" s="789">
        <v>8236.7116737034357</v>
      </c>
      <c r="S11" s="789">
        <v>17874.387506704301</v>
      </c>
      <c r="T11" s="789">
        <v>61009.806627169703</v>
      </c>
      <c r="U11" s="789">
        <v>13538.130999999999</v>
      </c>
      <c r="V11" s="789">
        <v>6619.6914158045211</v>
      </c>
      <c r="W11" s="790">
        <f t="shared" si="0"/>
        <v>1268457.7099226662</v>
      </c>
      <c r="X11" s="141">
        <v>1293529.3680000005</v>
      </c>
      <c r="AQ11" s="150">
        <v>-85363.127999999328</v>
      </c>
    </row>
    <row r="12" spans="1:43" ht="30.75" customHeight="1" x14ac:dyDescent="0.4">
      <c r="A12" s="765" t="s">
        <v>166</v>
      </c>
      <c r="B12" s="789">
        <v>51785.588570835862</v>
      </c>
      <c r="C12" s="789">
        <v>5772.4068787061533</v>
      </c>
      <c r="D12" s="789">
        <v>22960.798305572236</v>
      </c>
      <c r="E12" s="789">
        <v>337520.05808952596</v>
      </c>
      <c r="F12" s="789">
        <v>14990.905000000001</v>
      </c>
      <c r="G12" s="789">
        <v>26367.056935361514</v>
      </c>
      <c r="H12" s="789">
        <v>14168.96570964238</v>
      </c>
      <c r="I12" s="789">
        <v>5134.5929999999998</v>
      </c>
      <c r="J12" s="789">
        <v>439265.3838722239</v>
      </c>
      <c r="K12" s="789">
        <v>31033.996906129323</v>
      </c>
      <c r="L12" s="789">
        <v>48453.038999999997</v>
      </c>
      <c r="M12" s="789">
        <v>40124.603646270305</v>
      </c>
      <c r="N12" s="789">
        <v>18468.373730787389</v>
      </c>
      <c r="O12" s="789">
        <v>33430.368489410648</v>
      </c>
      <c r="P12" s="789">
        <v>18680.546999999999</v>
      </c>
      <c r="Q12" s="789">
        <v>44756.565474786141</v>
      </c>
      <c r="R12" s="789">
        <v>8168.3626737034347</v>
      </c>
      <c r="S12" s="789">
        <v>17760.6675067043</v>
      </c>
      <c r="T12" s="789">
        <v>50419.769627169706</v>
      </c>
      <c r="U12" s="789">
        <v>12020.569</v>
      </c>
      <c r="V12" s="789">
        <v>6540.7694158045215</v>
      </c>
      <c r="W12" s="790">
        <f t="shared" si="0"/>
        <v>1247823.3888326336</v>
      </c>
      <c r="X12" s="141">
        <v>1207555.8749999995</v>
      </c>
      <c r="AQ12" s="150">
        <v>-169167.44800000056</v>
      </c>
    </row>
    <row r="13" spans="1:43" ht="30.75" customHeight="1" x14ac:dyDescent="0.4">
      <c r="A13" s="765" t="s">
        <v>521</v>
      </c>
      <c r="B13" s="789">
        <v>51013.766570835862</v>
      </c>
      <c r="C13" s="789">
        <v>5841.5598787061535</v>
      </c>
      <c r="D13" s="789">
        <v>20752.521305572238</v>
      </c>
      <c r="E13" s="789">
        <v>329299.56308952591</v>
      </c>
      <c r="F13" s="789">
        <v>13537.843000000001</v>
      </c>
      <c r="G13" s="789">
        <v>20483.244935361512</v>
      </c>
      <c r="H13" s="789">
        <v>14100.799709642381</v>
      </c>
      <c r="I13" s="789">
        <v>4550.4769999999999</v>
      </c>
      <c r="J13" s="789">
        <v>405033.73087222391</v>
      </c>
      <c r="K13" s="789">
        <v>29306.896996161508</v>
      </c>
      <c r="L13" s="789">
        <v>38970.088000000003</v>
      </c>
      <c r="M13" s="789">
        <v>37066.693646270302</v>
      </c>
      <c r="N13" s="789">
        <v>18838.817730787388</v>
      </c>
      <c r="O13" s="789">
        <v>32872.327489410643</v>
      </c>
      <c r="P13" s="789">
        <v>17874.906999999999</v>
      </c>
      <c r="Q13" s="789">
        <v>44596.014474786141</v>
      </c>
      <c r="R13" s="789">
        <v>7686.0706737034352</v>
      </c>
      <c r="S13" s="789">
        <v>17249.462506704302</v>
      </c>
      <c r="T13" s="789">
        <v>44623.064627169704</v>
      </c>
      <c r="U13" s="789">
        <v>10699.343999999999</v>
      </c>
      <c r="V13" s="789">
        <v>6188.6594158045209</v>
      </c>
      <c r="W13" s="790">
        <f t="shared" si="0"/>
        <v>1170585.8529226661</v>
      </c>
      <c r="X13" s="141">
        <v>1070135.5250000006</v>
      </c>
      <c r="AQ13" s="150">
        <v>-251454.08399999957</v>
      </c>
    </row>
    <row r="14" spans="1:43" ht="30.75" customHeight="1" x14ac:dyDescent="0.4">
      <c r="A14" s="765" t="s">
        <v>168</v>
      </c>
      <c r="B14" s="789">
        <v>54629.278570835857</v>
      </c>
      <c r="C14" s="789">
        <v>5838.6318787061537</v>
      </c>
      <c r="D14" s="789">
        <v>21636.470305572238</v>
      </c>
      <c r="E14" s="789">
        <v>351606.98708952597</v>
      </c>
      <c r="F14" s="789">
        <v>14871.932000000001</v>
      </c>
      <c r="G14" s="789">
        <v>23642.654935361512</v>
      </c>
      <c r="H14" s="789">
        <v>13991.31670964238</v>
      </c>
      <c r="I14" s="789">
        <v>5798.8580000000002</v>
      </c>
      <c r="J14" s="789">
        <v>448888.86487222393</v>
      </c>
      <c r="K14" s="789">
        <v>33661.309906129325</v>
      </c>
      <c r="L14" s="789">
        <v>47690.807999999997</v>
      </c>
      <c r="M14" s="789">
        <v>42831.111646270307</v>
      </c>
      <c r="N14" s="789">
        <v>22865.403730787388</v>
      </c>
      <c r="O14" s="789">
        <v>33656.316489410645</v>
      </c>
      <c r="P14" s="789">
        <v>18629.487000000001</v>
      </c>
      <c r="Q14" s="789">
        <v>46291.234474786143</v>
      </c>
      <c r="R14" s="789">
        <v>8337.0846737034353</v>
      </c>
      <c r="S14" s="789">
        <v>17285.3275067043</v>
      </c>
      <c r="T14" s="789">
        <v>63786.340627169709</v>
      </c>
      <c r="U14" s="789">
        <v>12477.147000000001</v>
      </c>
      <c r="V14" s="789">
        <v>6381.5444158045211</v>
      </c>
      <c r="W14" s="790">
        <f t="shared" si="0"/>
        <v>1294798.1098326338</v>
      </c>
      <c r="X14" s="141">
        <v>1301992.7230000007</v>
      </c>
      <c r="AQ14" s="150">
        <v>-59625.527999999234</v>
      </c>
    </row>
    <row r="15" spans="1:43" ht="30.75" customHeight="1" thickBot="1" x14ac:dyDescent="0.45">
      <c r="A15" s="766" t="s">
        <v>169</v>
      </c>
      <c r="B15" s="789">
        <v>51206.038</v>
      </c>
      <c r="C15" s="789">
        <v>4378.8090000000002</v>
      </c>
      <c r="D15" s="789">
        <v>23261.011999999999</v>
      </c>
      <c r="E15" s="789">
        <v>338317.24200000003</v>
      </c>
      <c r="F15" s="789">
        <v>12374.815000000001</v>
      </c>
      <c r="G15" s="789">
        <v>16699.776999999998</v>
      </c>
      <c r="H15" s="789">
        <v>11693.602000000001</v>
      </c>
      <c r="I15" s="789">
        <v>4918.8909999999996</v>
      </c>
      <c r="J15" s="789">
        <v>355680.11800000002</v>
      </c>
      <c r="K15" s="789">
        <v>27025.487000000001</v>
      </c>
      <c r="L15" s="789">
        <v>43293.33</v>
      </c>
      <c r="M15" s="789">
        <v>36964.114999999998</v>
      </c>
      <c r="N15" s="789">
        <v>20769.593000000001</v>
      </c>
      <c r="O15" s="789">
        <v>31651.999</v>
      </c>
      <c r="P15" s="789">
        <v>16744.225999999999</v>
      </c>
      <c r="Q15" s="789">
        <v>43820.913999999997</v>
      </c>
      <c r="R15" s="789">
        <v>6520.3280000000004</v>
      </c>
      <c r="S15" s="789">
        <v>14569.012000000001</v>
      </c>
      <c r="T15" s="789">
        <v>41410.078999999998</v>
      </c>
      <c r="U15" s="789">
        <v>9783.9560000000001</v>
      </c>
      <c r="V15" s="789">
        <v>5510.2610000000004</v>
      </c>
      <c r="W15" s="790">
        <f t="shared" si="0"/>
        <v>1116593.6039999998</v>
      </c>
      <c r="X15" s="141">
        <v>1238776.1330000006</v>
      </c>
      <c r="AQ15" s="150">
        <v>28032.906000000425</v>
      </c>
    </row>
    <row r="16" spans="1:43" ht="30.75" customHeight="1" thickBot="1" x14ac:dyDescent="0.45">
      <c r="A16" s="756" t="s">
        <v>170</v>
      </c>
      <c r="B16" s="791">
        <f>SUM(B4:B15)</f>
        <v>680016.73410745873</v>
      </c>
      <c r="C16" s="791">
        <f t="shared" ref="C16:W16" si="1">SUM(C4:C15)</f>
        <v>69156.879813299529</v>
      </c>
      <c r="D16" s="791">
        <f t="shared" si="1"/>
        <v>292303.5595925774</v>
      </c>
      <c r="E16" s="791">
        <f t="shared" si="1"/>
        <v>4078573.0694320262</v>
      </c>
      <c r="F16" s="791">
        <f t="shared" si="1"/>
        <v>175041.42199999999</v>
      </c>
      <c r="G16" s="791">
        <f t="shared" si="1"/>
        <v>302260.16137212917</v>
      </c>
      <c r="H16" s="791">
        <f t="shared" si="1"/>
        <v>176294.48203199729</v>
      </c>
      <c r="I16" s="791">
        <f t="shared" si="1"/>
        <v>64076.780000000013</v>
      </c>
      <c r="J16" s="791">
        <f t="shared" si="1"/>
        <v>5370325.5138648851</v>
      </c>
      <c r="K16" s="791">
        <f t="shared" si="1"/>
        <v>377725.63047811593</v>
      </c>
      <c r="L16" s="791">
        <f t="shared" si="1"/>
        <v>563072.30699999991</v>
      </c>
      <c r="M16" s="791">
        <f t="shared" si="1"/>
        <v>537402.32304320682</v>
      </c>
      <c r="N16" s="791">
        <f t="shared" si="1"/>
        <v>262697.2216795478</v>
      </c>
      <c r="O16" s="791">
        <f t="shared" si="1"/>
        <v>413259.61532163306</v>
      </c>
      <c r="P16" s="791">
        <f t="shared" si="1"/>
        <v>222439.951</v>
      </c>
      <c r="Q16" s="791">
        <f t="shared" si="1"/>
        <v>510202.98874786135</v>
      </c>
      <c r="R16" s="791">
        <f t="shared" si="1"/>
        <v>98339.732737034326</v>
      </c>
      <c r="S16" s="791">
        <f t="shared" si="1"/>
        <v>223068.667559486</v>
      </c>
      <c r="T16" s="791">
        <f t="shared" si="1"/>
        <v>694426.1449638526</v>
      </c>
      <c r="U16" s="791">
        <f t="shared" si="1"/>
        <v>169006.05300000001</v>
      </c>
      <c r="V16" s="792">
        <f t="shared" si="1"/>
        <v>78831.057254883286</v>
      </c>
      <c r="W16" s="793">
        <f t="shared" si="1"/>
        <v>15358520.294999996</v>
      </c>
      <c r="X16" s="141">
        <v>15237940.169000003</v>
      </c>
      <c r="AQ16" s="150">
        <v>-1356128.2239999995</v>
      </c>
    </row>
    <row r="17" spans="1:23" ht="30.75" customHeight="1" x14ac:dyDescent="0.4">
      <c r="A17" s="2845" t="s">
        <v>1053</v>
      </c>
      <c r="B17" s="2845"/>
      <c r="C17" s="2845"/>
      <c r="D17" s="2845"/>
      <c r="E17" s="2845"/>
      <c r="F17" s="2845"/>
      <c r="G17" s="2845"/>
      <c r="H17" s="2845"/>
      <c r="I17" s="2845"/>
      <c r="J17" s="2845"/>
      <c r="K17" s="2845"/>
      <c r="L17" s="2845"/>
      <c r="M17" s="2845"/>
      <c r="N17" s="2845"/>
      <c r="O17" s="2845"/>
      <c r="P17" s="2845"/>
      <c r="Q17" s="2845"/>
      <c r="R17" s="2845"/>
      <c r="S17" s="2845"/>
      <c r="T17" s="2845"/>
      <c r="U17" s="2845"/>
      <c r="V17" s="2845"/>
      <c r="W17" s="2845"/>
    </row>
    <row r="18" spans="1:23" ht="54" customHeight="1" x14ac:dyDescent="0.45">
      <c r="E18" s="794"/>
    </row>
  </sheetData>
  <mergeCells count="3">
    <mergeCell ref="A1:W1"/>
    <mergeCell ref="A2:W2"/>
    <mergeCell ref="A17:W17"/>
  </mergeCells>
  <printOptions horizontalCentered="1" verticalCentered="1"/>
  <pageMargins left="0.39370078740157483" right="0.39370078740157483" top="0.78740157480314965" bottom="0.78740157480314965" header="0" footer="0"/>
  <pageSetup paperSize="9" scale="5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/>
  </sheetPr>
  <dimension ref="A1:I47"/>
  <sheetViews>
    <sheetView rightToLeft="1" topLeftCell="A10" zoomScale="110" zoomScaleNormal="110" workbookViewId="0">
      <selection activeCell="A17" sqref="A17:E17"/>
    </sheetView>
  </sheetViews>
  <sheetFormatPr defaultColWidth="10.625" defaultRowHeight="15.75" x14ac:dyDescent="0.4"/>
  <cols>
    <col min="1" max="1" width="21.75" style="141" customWidth="1"/>
    <col min="2" max="3" width="18.375" style="141" customWidth="1"/>
    <col min="4" max="5" width="15.875" style="141" customWidth="1"/>
    <col min="6" max="6" width="0" style="141" hidden="1" customWidth="1"/>
    <col min="7" max="7" width="19.875" style="141" customWidth="1"/>
    <col min="8" max="8" width="11.375" style="141" bestFit="1" customWidth="1"/>
    <col min="9" max="16384" width="10.625" style="141"/>
  </cols>
  <sheetData>
    <row r="1" spans="1:5" ht="18" customHeight="1" x14ac:dyDescent="0.4"/>
    <row r="2" spans="1:5" ht="18" customHeight="1" x14ac:dyDescent="0.4"/>
    <row r="3" spans="1:5" ht="18" customHeight="1" x14ac:dyDescent="0.4"/>
    <row r="4" spans="1:5" ht="18" customHeight="1" x14ac:dyDescent="0.4"/>
    <row r="5" spans="1:5" ht="18" customHeight="1" x14ac:dyDescent="0.4"/>
    <row r="6" spans="1:5" ht="18" customHeight="1" x14ac:dyDescent="0.4"/>
    <row r="7" spans="1:5" ht="18" customHeight="1" x14ac:dyDescent="0.4"/>
    <row r="8" spans="1:5" ht="18" customHeight="1" x14ac:dyDescent="0.4"/>
    <row r="9" spans="1:5" ht="18" customHeight="1" x14ac:dyDescent="0.4"/>
    <row r="10" spans="1:5" ht="18" customHeight="1" x14ac:dyDescent="0.4"/>
    <row r="11" spans="1:5" ht="18" customHeight="1" x14ac:dyDescent="0.4"/>
    <row r="12" spans="1:5" ht="18" customHeight="1" x14ac:dyDescent="0.4"/>
    <row r="13" spans="1:5" ht="18" customHeight="1" x14ac:dyDescent="0.4"/>
    <row r="14" spans="1:5" ht="18" customHeight="1" x14ac:dyDescent="0.4"/>
    <row r="15" spans="1:5" ht="18" customHeight="1" x14ac:dyDescent="0.4"/>
    <row r="16" spans="1:5" ht="15" customHeight="1" x14ac:dyDescent="0.4">
      <c r="A16" s="2855" t="s">
        <v>1859</v>
      </c>
      <c r="B16" s="2855"/>
      <c r="C16" s="2855"/>
      <c r="D16" s="2855"/>
      <c r="E16" s="2855"/>
    </row>
    <row r="17" spans="1:9" ht="15" customHeight="1" thickBot="1" x14ac:dyDescent="0.45">
      <c r="A17" s="2856" t="s">
        <v>429</v>
      </c>
      <c r="B17" s="2856"/>
      <c r="C17" s="2856"/>
      <c r="D17" s="2856"/>
      <c r="E17" s="2856"/>
    </row>
    <row r="18" spans="1:9" ht="22.5" customHeight="1" x14ac:dyDescent="0.4">
      <c r="A18" s="2787" t="s">
        <v>118</v>
      </c>
      <c r="B18" s="2857" t="s">
        <v>38</v>
      </c>
      <c r="C18" s="2858"/>
      <c r="D18" s="2849" t="s">
        <v>442</v>
      </c>
      <c r="E18" s="2859" t="s">
        <v>406</v>
      </c>
      <c r="F18" s="795">
        <v>9313217</v>
      </c>
    </row>
    <row r="19" spans="1:9" ht="22.5" customHeight="1" thickBot="1" x14ac:dyDescent="0.45">
      <c r="A19" s="2848"/>
      <c r="B19" s="796">
        <v>1402</v>
      </c>
      <c r="C19" s="796">
        <v>1403</v>
      </c>
      <c r="D19" s="2850"/>
      <c r="E19" s="2860"/>
      <c r="F19" s="797">
        <v>4646936</v>
      </c>
    </row>
    <row r="20" spans="1:9" ht="16.5" customHeight="1" x14ac:dyDescent="0.45">
      <c r="A20" s="798" t="s">
        <v>107</v>
      </c>
      <c r="B20" s="772">
        <v>686215.53700000001</v>
      </c>
      <c r="C20" s="772">
        <v>680016.73410745698</v>
      </c>
      <c r="D20" s="799">
        <f t="shared" ref="D20:D41" si="0">C20-B20</f>
        <v>-6198.8028925430262</v>
      </c>
      <c r="E20" s="774">
        <f t="shared" ref="E20:E41" si="1">D20/B20</f>
        <v>-9.0333176069474896E-3</v>
      </c>
      <c r="F20" s="797"/>
      <c r="G20" s="777"/>
      <c r="I20" s="150"/>
    </row>
    <row r="21" spans="1:9" ht="16.5" customHeight="1" x14ac:dyDescent="0.45">
      <c r="A21" s="323" t="s">
        <v>112</v>
      </c>
      <c r="B21" s="778">
        <v>61746.014000000003</v>
      </c>
      <c r="C21" s="778">
        <v>69156.879813299834</v>
      </c>
      <c r="D21" s="799">
        <f t="shared" si="0"/>
        <v>7410.8658132998316</v>
      </c>
      <c r="E21" s="779">
        <f t="shared" si="1"/>
        <v>0.12002176874607373</v>
      </c>
      <c r="F21" s="797"/>
      <c r="G21" s="777"/>
      <c r="I21" s="150"/>
    </row>
    <row r="22" spans="1:9" ht="16.5" customHeight="1" x14ac:dyDescent="0.45">
      <c r="A22" s="323" t="s">
        <v>198</v>
      </c>
      <c r="B22" s="778">
        <v>309851.34100000001</v>
      </c>
      <c r="C22" s="778">
        <v>292303.55959257705</v>
      </c>
      <c r="D22" s="799">
        <f t="shared" si="0"/>
        <v>-17547.781407422968</v>
      </c>
      <c r="E22" s="779">
        <f t="shared" si="1"/>
        <v>-5.663290451088597E-2</v>
      </c>
      <c r="F22" s="797"/>
      <c r="G22" s="777"/>
      <c r="I22" s="150"/>
    </row>
    <row r="23" spans="1:9" ht="16.5" customHeight="1" x14ac:dyDescent="0.45">
      <c r="A23" s="323" t="s">
        <v>102</v>
      </c>
      <c r="B23" s="778">
        <v>4559873.1809999999</v>
      </c>
      <c r="C23" s="778">
        <v>4078573.0694320546</v>
      </c>
      <c r="D23" s="799">
        <f t="shared" si="0"/>
        <v>-481300.11156794522</v>
      </c>
      <c r="E23" s="779">
        <f t="shared" si="1"/>
        <v>-0.1055512055847119</v>
      </c>
      <c r="F23" s="797"/>
      <c r="G23" s="777"/>
      <c r="H23" s="150"/>
      <c r="I23" s="150"/>
    </row>
    <row r="24" spans="1:9" ht="16.5" customHeight="1" x14ac:dyDescent="0.45">
      <c r="A24" s="323" t="s">
        <v>199</v>
      </c>
      <c r="B24" s="778">
        <v>195111.68400000001</v>
      </c>
      <c r="C24" s="778">
        <v>175041.42199999999</v>
      </c>
      <c r="D24" s="799">
        <f t="shared" si="0"/>
        <v>-20070.262000000017</v>
      </c>
      <c r="E24" s="779">
        <f t="shared" si="1"/>
        <v>-0.10286550548146577</v>
      </c>
      <c r="F24" s="797"/>
      <c r="G24" s="777"/>
      <c r="I24" s="150"/>
    </row>
    <row r="25" spans="1:9" ht="16.5" customHeight="1" x14ac:dyDescent="0.45">
      <c r="A25" s="780" t="s">
        <v>113</v>
      </c>
      <c r="B25" s="778">
        <v>366088.99400000001</v>
      </c>
      <c r="C25" s="778">
        <v>302260.16137212893</v>
      </c>
      <c r="D25" s="799">
        <f t="shared" si="0"/>
        <v>-63828.832627871074</v>
      </c>
      <c r="E25" s="779">
        <f t="shared" si="1"/>
        <v>-0.17435332302798229</v>
      </c>
      <c r="F25" s="797"/>
      <c r="G25" s="777"/>
      <c r="I25" s="150"/>
    </row>
    <row r="26" spans="1:9" ht="16.5" customHeight="1" x14ac:dyDescent="0.45">
      <c r="A26" s="323" t="s">
        <v>589</v>
      </c>
      <c r="B26" s="778">
        <v>189572.28200000001</v>
      </c>
      <c r="C26" s="778">
        <v>176294.48203199811</v>
      </c>
      <c r="D26" s="799">
        <f t="shared" si="0"/>
        <v>-13277.799968001898</v>
      </c>
      <c r="E26" s="779">
        <f t="shared" si="1"/>
        <v>-7.004082995636407E-2</v>
      </c>
      <c r="F26" s="797"/>
      <c r="G26" s="777"/>
      <c r="I26" s="150"/>
    </row>
    <row r="27" spans="1:9" ht="16.5" customHeight="1" x14ac:dyDescent="0.45">
      <c r="A27" s="323" t="s">
        <v>590</v>
      </c>
      <c r="B27" s="778">
        <v>65779.608999999997</v>
      </c>
      <c r="C27" s="778">
        <v>64076.78</v>
      </c>
      <c r="D27" s="799">
        <f t="shared" si="0"/>
        <v>-1702.8289999999979</v>
      </c>
      <c r="E27" s="779">
        <f t="shared" si="1"/>
        <v>-2.5886882361979349E-2</v>
      </c>
      <c r="F27" s="797"/>
      <c r="G27" s="777"/>
      <c r="I27" s="150"/>
    </row>
    <row r="28" spans="1:9" ht="16.5" customHeight="1" x14ac:dyDescent="0.45">
      <c r="A28" s="323" t="s">
        <v>99</v>
      </c>
      <c r="B28" s="778">
        <v>5878910.2199999997</v>
      </c>
      <c r="C28" s="778">
        <v>5370325.5138648422</v>
      </c>
      <c r="D28" s="799">
        <f t="shared" si="0"/>
        <v>-508584.7061351575</v>
      </c>
      <c r="E28" s="779">
        <f t="shared" si="1"/>
        <v>-8.6510031128721257E-2</v>
      </c>
      <c r="F28" s="797"/>
      <c r="G28" s="777"/>
      <c r="I28" s="150"/>
    </row>
    <row r="29" spans="1:9" ht="16.5" customHeight="1" x14ac:dyDescent="0.45">
      <c r="A29" s="323" t="s">
        <v>110</v>
      </c>
      <c r="B29" s="778">
        <v>362375.53600000002</v>
      </c>
      <c r="C29" s="778">
        <v>377725.63047811517</v>
      </c>
      <c r="D29" s="799">
        <f t="shared" si="0"/>
        <v>15350.094478115148</v>
      </c>
      <c r="E29" s="779">
        <f t="shared" si="1"/>
        <v>4.2359632351437616E-2</v>
      </c>
      <c r="F29" s="797"/>
      <c r="G29" s="777"/>
      <c r="I29" s="150"/>
    </row>
    <row r="30" spans="1:9" ht="16.5" customHeight="1" x14ac:dyDescent="0.45">
      <c r="A30" s="323" t="s">
        <v>201</v>
      </c>
      <c r="B30" s="778">
        <v>663743.43799999997</v>
      </c>
      <c r="C30" s="778">
        <v>563072.30700000003</v>
      </c>
      <c r="D30" s="799">
        <f t="shared" si="0"/>
        <v>-100671.13099999994</v>
      </c>
      <c r="E30" s="779">
        <f t="shared" si="1"/>
        <v>-0.15167175332586857</v>
      </c>
      <c r="F30" s="797"/>
      <c r="G30" s="777"/>
      <c r="I30" s="150"/>
    </row>
    <row r="31" spans="1:9" ht="16.5" customHeight="1" x14ac:dyDescent="0.45">
      <c r="A31" s="323" t="s">
        <v>97</v>
      </c>
      <c r="B31" s="778">
        <v>608302.22400000005</v>
      </c>
      <c r="C31" s="778">
        <v>537402.32304320554</v>
      </c>
      <c r="D31" s="799">
        <f t="shared" si="0"/>
        <v>-70899.900956794503</v>
      </c>
      <c r="E31" s="779">
        <f t="shared" si="1"/>
        <v>-0.11655374279347448</v>
      </c>
      <c r="F31" s="797"/>
      <c r="G31" s="777"/>
      <c r="I31" s="150"/>
    </row>
    <row r="32" spans="1:9" ht="16.5" customHeight="1" x14ac:dyDescent="0.45">
      <c r="A32" s="323" t="s">
        <v>95</v>
      </c>
      <c r="B32" s="778">
        <v>264565.36099999998</v>
      </c>
      <c r="C32" s="778">
        <v>262697.22167954827</v>
      </c>
      <c r="D32" s="799">
        <f t="shared" si="0"/>
        <v>-1868.139320451708</v>
      </c>
      <c r="E32" s="779">
        <f t="shared" si="1"/>
        <v>-7.0611636889672353E-3</v>
      </c>
      <c r="F32" s="797"/>
      <c r="G32" s="777"/>
      <c r="I32" s="150"/>
    </row>
    <row r="33" spans="1:9" ht="16.5" customHeight="1" x14ac:dyDescent="0.45">
      <c r="A33" s="323" t="s">
        <v>105</v>
      </c>
      <c r="B33" s="778">
        <v>392752.30900000001</v>
      </c>
      <c r="C33" s="778">
        <v>413259.61532163282</v>
      </c>
      <c r="D33" s="799">
        <f t="shared" si="0"/>
        <v>20507.306321632816</v>
      </c>
      <c r="E33" s="779">
        <f t="shared" si="1"/>
        <v>5.2214349481094498E-2</v>
      </c>
      <c r="F33" s="797"/>
      <c r="G33" s="777"/>
      <c r="I33" s="150"/>
    </row>
    <row r="34" spans="1:9" ht="16.5" customHeight="1" x14ac:dyDescent="0.45">
      <c r="A34" s="323" t="s">
        <v>106</v>
      </c>
      <c r="B34" s="778">
        <v>203753.356</v>
      </c>
      <c r="C34" s="778">
        <v>222439.951</v>
      </c>
      <c r="D34" s="799">
        <f t="shared" si="0"/>
        <v>18686.595000000001</v>
      </c>
      <c r="E34" s="779">
        <f t="shared" si="1"/>
        <v>9.1711839092358319E-2</v>
      </c>
      <c r="F34" s="797"/>
      <c r="G34" s="777"/>
      <c r="I34" s="150"/>
    </row>
    <row r="35" spans="1:9" ht="16.5" customHeight="1" x14ac:dyDescent="0.45">
      <c r="A35" s="323" t="s">
        <v>101</v>
      </c>
      <c r="B35" s="778">
        <v>542584.799</v>
      </c>
      <c r="C35" s="778">
        <v>510202.98874786281</v>
      </c>
      <c r="D35" s="799">
        <f t="shared" si="0"/>
        <v>-32381.810252137191</v>
      </c>
      <c r="E35" s="779">
        <f t="shared" si="1"/>
        <v>-5.9680644042770521E-2</v>
      </c>
      <c r="G35" s="777"/>
      <c r="H35" s="150"/>
      <c r="I35" s="150"/>
    </row>
    <row r="36" spans="1:9" ht="16.5" customHeight="1" x14ac:dyDescent="0.45">
      <c r="A36" s="323" t="s">
        <v>96</v>
      </c>
      <c r="B36" s="778">
        <v>102189.97900000001</v>
      </c>
      <c r="C36" s="778">
        <v>98339.732737034617</v>
      </c>
      <c r="D36" s="799">
        <f t="shared" si="0"/>
        <v>-3850.2462629653892</v>
      </c>
      <c r="E36" s="779">
        <f t="shared" si="1"/>
        <v>-3.7677336864560748E-2</v>
      </c>
      <c r="G36" s="777"/>
      <c r="I36" s="150"/>
    </row>
    <row r="37" spans="1:9" ht="16.5" customHeight="1" x14ac:dyDescent="0.45">
      <c r="A37" s="323" t="s">
        <v>104</v>
      </c>
      <c r="B37" s="778">
        <v>273307.79499999998</v>
      </c>
      <c r="C37" s="778">
        <v>223068.66755948591</v>
      </c>
      <c r="D37" s="799">
        <f t="shared" si="0"/>
        <v>-50239.127440514072</v>
      </c>
      <c r="E37" s="779">
        <f t="shared" si="1"/>
        <v>-0.18381886049212051</v>
      </c>
      <c r="G37" s="777"/>
      <c r="I37" s="150"/>
    </row>
    <row r="38" spans="1:9" ht="16.5" customHeight="1" x14ac:dyDescent="0.45">
      <c r="A38" s="323" t="s">
        <v>108</v>
      </c>
      <c r="B38" s="778">
        <v>628874.53599999996</v>
      </c>
      <c r="C38" s="778">
        <v>694426.14496385574</v>
      </c>
      <c r="D38" s="799">
        <f t="shared" si="0"/>
        <v>65551.608963855775</v>
      </c>
      <c r="E38" s="779">
        <f t="shared" si="1"/>
        <v>0.10423638613323624</v>
      </c>
      <c r="G38" s="777"/>
      <c r="I38" s="150"/>
    </row>
    <row r="39" spans="1:9" ht="16.5" customHeight="1" x14ac:dyDescent="0.45">
      <c r="A39" s="323" t="s">
        <v>109</v>
      </c>
      <c r="B39" s="778">
        <v>161454.36499999999</v>
      </c>
      <c r="C39" s="778">
        <v>169006.05300000001</v>
      </c>
      <c r="D39" s="799">
        <f t="shared" si="0"/>
        <v>7551.6880000000237</v>
      </c>
      <c r="E39" s="779">
        <f t="shared" si="1"/>
        <v>4.6772894619479775E-2</v>
      </c>
      <c r="G39" s="777"/>
      <c r="I39" s="150"/>
    </row>
    <row r="40" spans="1:9" ht="17.25" customHeight="1" thickBot="1" x14ac:dyDescent="0.5">
      <c r="A40" s="323" t="s">
        <v>1051</v>
      </c>
      <c r="B40" s="778">
        <v>77015.832999999999</v>
      </c>
      <c r="C40" s="778">
        <v>78831.057254883242</v>
      </c>
      <c r="D40" s="799">
        <f t="shared" si="0"/>
        <v>1815.2242548832437</v>
      </c>
      <c r="E40" s="779">
        <f t="shared" si="1"/>
        <v>2.3569494533458381E-2</v>
      </c>
      <c r="G40" s="777"/>
      <c r="H40" s="150"/>
      <c r="I40" s="150"/>
    </row>
    <row r="41" spans="1:9" ht="19.5" thickBot="1" x14ac:dyDescent="0.45">
      <c r="A41" s="41" t="s">
        <v>170</v>
      </c>
      <c r="B41" s="781">
        <f>SUM(B20:B40)</f>
        <v>16594068.393000001</v>
      </c>
      <c r="C41" s="781">
        <f>SUM(C20:C40)</f>
        <v>15358520.294999979</v>
      </c>
      <c r="D41" s="782">
        <f t="shared" si="0"/>
        <v>-1235548.0980000217</v>
      </c>
      <c r="E41" s="783">
        <f t="shared" si="1"/>
        <v>-7.4457213790996665E-2</v>
      </c>
      <c r="G41" s="800"/>
      <c r="H41" s="784"/>
      <c r="I41" s="785"/>
    </row>
    <row r="42" spans="1:9" x14ac:dyDescent="0.4">
      <c r="A42" s="2846" t="s">
        <v>1053</v>
      </c>
      <c r="B42" s="2846"/>
      <c r="C42" s="2846"/>
      <c r="D42" s="2846"/>
      <c r="E42" s="2846"/>
      <c r="G42" s="800"/>
      <c r="H42" s="231"/>
    </row>
    <row r="44" spans="1:9" x14ac:dyDescent="0.4">
      <c r="C44" s="801"/>
    </row>
    <row r="46" spans="1:9" x14ac:dyDescent="0.4">
      <c r="E46" s="802"/>
    </row>
    <row r="47" spans="1:9" x14ac:dyDescent="0.4">
      <c r="E47" s="803"/>
    </row>
  </sheetData>
  <mergeCells count="7">
    <mergeCell ref="A42:E42"/>
    <mergeCell ref="A16:E16"/>
    <mergeCell ref="A17:E17"/>
    <mergeCell ref="A18:A19"/>
    <mergeCell ref="B18:C18"/>
    <mergeCell ref="D18:D19"/>
    <mergeCell ref="E18:E19"/>
  </mergeCells>
  <printOptions horizontalCentered="1" verticalCentered="1"/>
  <pageMargins left="0.74803149606299213" right="0.74803149606299213" top="0.19685039370078741" bottom="0.78740157480314965" header="0.51181102362204722" footer="0.51181102362204722"/>
  <pageSetup paperSize="9" scale="95" firstPageNumber="12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3"/>
  </sheetPr>
  <dimension ref="A1"/>
  <sheetViews>
    <sheetView rightToLeft="1" zoomScaleNormal="100" workbookViewId="0">
      <selection activeCell="C20" sqref="C20"/>
    </sheetView>
  </sheetViews>
  <sheetFormatPr defaultRowHeight="18" x14ac:dyDescent="0.5"/>
  <cols>
    <col min="1" max="16384" width="9" style="682"/>
  </cols>
  <sheetData/>
  <printOptions horizontalCentered="1" verticalCentered="1"/>
  <pageMargins left="0.59055118110236227" right="0.59055118110236227" top="0.98425196850393704" bottom="0.98425196850393704" header="0.51181102362204722" footer="0.51181102362204722"/>
  <pageSetup paperSize="9" scale="80" firstPageNumber="124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/>
    <pageSetUpPr fitToPage="1"/>
  </sheetPr>
  <dimension ref="A1:AQ37"/>
  <sheetViews>
    <sheetView rightToLeft="1" workbookViewId="0">
      <selection activeCell="K24" sqref="K24:K35"/>
    </sheetView>
  </sheetViews>
  <sheetFormatPr defaultColWidth="10.625" defaultRowHeight="15.75" x14ac:dyDescent="0.4"/>
  <cols>
    <col min="1" max="1" width="12.625" style="141" bestFit="1" customWidth="1"/>
    <col min="2" max="2" width="14.375" style="141" customWidth="1"/>
    <col min="3" max="3" width="13.875" style="141" customWidth="1"/>
    <col min="4" max="4" width="17.375" style="141" customWidth="1"/>
    <col min="5" max="5" width="13.875" style="141" customWidth="1"/>
    <col min="6" max="6" width="13.125" style="141" customWidth="1"/>
    <col min="7" max="7" width="16.625" style="141" customWidth="1"/>
    <col min="8" max="8" width="15.5" style="141" customWidth="1"/>
    <col min="9" max="9" width="14" style="141" customWidth="1"/>
    <col min="10" max="10" width="10.75" style="141" customWidth="1"/>
    <col min="11" max="11" width="17.25" style="141" customWidth="1"/>
    <col min="12" max="12" width="0" style="141" hidden="1" customWidth="1"/>
    <col min="13" max="13" width="9.75" style="141" hidden="1" customWidth="1"/>
    <col min="14" max="22" width="0" style="141" hidden="1" customWidth="1"/>
    <col min="23" max="42" width="10.625" style="141"/>
    <col min="43" max="43" width="13" style="141" bestFit="1" customWidth="1"/>
    <col min="44" max="16384" width="10.625" style="141"/>
  </cols>
  <sheetData>
    <row r="1" spans="1:43" ht="31.5" customHeight="1" thickBot="1" x14ac:dyDescent="0.45">
      <c r="A1" s="2861" t="s">
        <v>1860</v>
      </c>
      <c r="B1" s="2861"/>
      <c r="C1" s="2861"/>
      <c r="D1" s="2861"/>
      <c r="E1" s="2861"/>
      <c r="F1" s="2861"/>
      <c r="G1" s="2861"/>
      <c r="H1" s="2861"/>
      <c r="I1" s="2861"/>
      <c r="J1" s="2861"/>
      <c r="K1" s="2861"/>
    </row>
    <row r="2" spans="1:43" ht="51" customHeight="1" thickBot="1" x14ac:dyDescent="0.45">
      <c r="A2" s="804" t="s">
        <v>1076</v>
      </c>
      <c r="B2" s="805" t="s">
        <v>201</v>
      </c>
      <c r="C2" s="806" t="s">
        <v>99</v>
      </c>
      <c r="D2" s="807" t="s">
        <v>1077</v>
      </c>
      <c r="E2" s="806" t="s">
        <v>96</v>
      </c>
      <c r="F2" s="807" t="s">
        <v>1078</v>
      </c>
      <c r="G2" s="807" t="s">
        <v>1079</v>
      </c>
      <c r="H2" s="807" t="s">
        <v>113</v>
      </c>
      <c r="I2" s="806" t="s">
        <v>1080</v>
      </c>
      <c r="J2" s="808" t="s">
        <v>1081</v>
      </c>
      <c r="K2" s="804" t="s">
        <v>170</v>
      </c>
      <c r="L2" s="141" t="s">
        <v>1082</v>
      </c>
      <c r="M2" s="141" t="s">
        <v>201</v>
      </c>
      <c r="N2" s="141" t="s">
        <v>1083</v>
      </c>
      <c r="O2" s="141" t="s">
        <v>107</v>
      </c>
      <c r="P2" s="141" t="s">
        <v>106</v>
      </c>
      <c r="Q2" s="141" t="s">
        <v>99</v>
      </c>
      <c r="R2" s="141" t="s">
        <v>96</v>
      </c>
      <c r="S2" s="141" t="s">
        <v>199</v>
      </c>
      <c r="T2" s="141" t="s">
        <v>1080</v>
      </c>
      <c r="U2" s="141" t="s">
        <v>1084</v>
      </c>
      <c r="V2" s="141" t="s">
        <v>1075</v>
      </c>
    </row>
    <row r="3" spans="1:43" ht="19.5" x14ac:dyDescent="0.4">
      <c r="A3" s="809" t="s">
        <v>158</v>
      </c>
      <c r="B3" s="810">
        <v>288963</v>
      </c>
      <c r="C3" s="810">
        <v>685019</v>
      </c>
      <c r="D3" s="810">
        <v>261467</v>
      </c>
      <c r="E3" s="810">
        <v>123921</v>
      </c>
      <c r="F3" s="810">
        <v>53073</v>
      </c>
      <c r="G3" s="810">
        <v>279346</v>
      </c>
      <c r="H3" s="810">
        <v>53930</v>
      </c>
      <c r="I3" s="789">
        <v>627386</v>
      </c>
      <c r="J3" s="811">
        <v>1659</v>
      </c>
      <c r="K3" s="812">
        <f>SUM(B3:J3)</f>
        <v>2374764</v>
      </c>
      <c r="L3" s="141">
        <v>1</v>
      </c>
      <c r="M3" s="141">
        <v>266982</v>
      </c>
      <c r="O3" s="141">
        <v>228858</v>
      </c>
      <c r="P3" s="141">
        <v>277304</v>
      </c>
      <c r="Q3" s="141">
        <v>855553</v>
      </c>
      <c r="R3" s="141">
        <v>121314</v>
      </c>
      <c r="S3" s="141">
        <v>53817</v>
      </c>
      <c r="T3" s="141">
        <v>556815</v>
      </c>
      <c r="U3" s="141">
        <v>3664</v>
      </c>
      <c r="V3" s="141">
        <v>2364307</v>
      </c>
      <c r="X3" s="150"/>
      <c r="AQ3" s="150"/>
    </row>
    <row r="4" spans="1:43" ht="19.5" x14ac:dyDescent="0.4">
      <c r="A4" s="813" t="s">
        <v>159</v>
      </c>
      <c r="B4" s="810">
        <v>294569</v>
      </c>
      <c r="C4" s="810">
        <v>753255</v>
      </c>
      <c r="D4" s="810">
        <v>274946</v>
      </c>
      <c r="E4" s="810">
        <v>133034</v>
      </c>
      <c r="F4" s="810">
        <v>43488</v>
      </c>
      <c r="G4" s="810">
        <v>271549</v>
      </c>
      <c r="H4" s="810">
        <v>55062</v>
      </c>
      <c r="I4" s="789">
        <v>785417</v>
      </c>
      <c r="J4" s="811">
        <v>342</v>
      </c>
      <c r="K4" s="812">
        <f t="shared" ref="K4:K14" si="0">SUM(B4:J4)</f>
        <v>2611662</v>
      </c>
      <c r="L4" s="141">
        <v>2</v>
      </c>
      <c r="M4" s="141">
        <v>227536</v>
      </c>
      <c r="O4" s="141">
        <v>205729</v>
      </c>
      <c r="P4" s="141">
        <v>268929</v>
      </c>
      <c r="Q4" s="141">
        <v>727239</v>
      </c>
      <c r="R4" s="141">
        <v>109816</v>
      </c>
      <c r="S4" s="141">
        <v>44959</v>
      </c>
      <c r="T4" s="141">
        <v>668553</v>
      </c>
      <c r="U4" s="141">
        <v>5008</v>
      </c>
      <c r="V4" s="141">
        <v>2257769</v>
      </c>
      <c r="X4" s="150"/>
    </row>
    <row r="5" spans="1:43" ht="19.5" x14ac:dyDescent="0.4">
      <c r="A5" s="813" t="s">
        <v>160</v>
      </c>
      <c r="B5" s="810">
        <v>292861</v>
      </c>
      <c r="C5" s="810">
        <v>728995</v>
      </c>
      <c r="D5" s="810">
        <v>268922</v>
      </c>
      <c r="E5" s="810">
        <v>132623</v>
      </c>
      <c r="F5" s="810">
        <v>43956</v>
      </c>
      <c r="G5" s="810">
        <v>280937</v>
      </c>
      <c r="H5" s="810">
        <v>57043</v>
      </c>
      <c r="I5" s="789">
        <v>783193</v>
      </c>
      <c r="J5" s="811"/>
      <c r="K5" s="812">
        <f t="shared" si="0"/>
        <v>2588530</v>
      </c>
      <c r="L5" s="141">
        <v>3</v>
      </c>
      <c r="M5" s="141">
        <v>205135</v>
      </c>
      <c r="N5" s="141">
        <v>2</v>
      </c>
      <c r="O5" s="141">
        <v>158980</v>
      </c>
      <c r="P5" s="141">
        <v>239120</v>
      </c>
      <c r="Q5" s="141">
        <v>643845</v>
      </c>
      <c r="R5" s="141">
        <v>107980</v>
      </c>
      <c r="S5" s="141">
        <v>40859</v>
      </c>
      <c r="T5" s="141">
        <v>547414</v>
      </c>
      <c r="U5" s="141">
        <v>1774</v>
      </c>
      <c r="V5" s="141">
        <v>1945109</v>
      </c>
      <c r="X5" s="150"/>
    </row>
    <row r="6" spans="1:43" ht="19.5" x14ac:dyDescent="0.4">
      <c r="A6" s="813" t="s">
        <v>161</v>
      </c>
      <c r="B6" s="810">
        <v>306285</v>
      </c>
      <c r="C6" s="810">
        <v>725952</v>
      </c>
      <c r="D6" s="810">
        <v>268604</v>
      </c>
      <c r="E6" s="810">
        <v>134945</v>
      </c>
      <c r="F6" s="810">
        <v>44408</v>
      </c>
      <c r="G6" s="810">
        <v>269506</v>
      </c>
      <c r="H6" s="810">
        <v>55285</v>
      </c>
      <c r="I6" s="789">
        <v>789357</v>
      </c>
      <c r="J6" s="811">
        <v>617</v>
      </c>
      <c r="K6" s="812">
        <f t="shared" si="0"/>
        <v>2594959</v>
      </c>
      <c r="L6" s="141">
        <v>4</v>
      </c>
      <c r="M6" s="141">
        <v>265500</v>
      </c>
      <c r="N6" s="141">
        <v>76</v>
      </c>
      <c r="O6" s="141">
        <v>247091</v>
      </c>
      <c r="P6" s="141">
        <v>289237</v>
      </c>
      <c r="Q6" s="141">
        <v>906355</v>
      </c>
      <c r="R6" s="141">
        <v>128882</v>
      </c>
      <c r="S6" s="141">
        <v>48876</v>
      </c>
      <c r="T6" s="141">
        <v>567222</v>
      </c>
      <c r="U6" s="141">
        <v>3520</v>
      </c>
      <c r="V6" s="141">
        <v>2456759</v>
      </c>
      <c r="X6" s="150"/>
    </row>
    <row r="7" spans="1:43" ht="19.5" x14ac:dyDescent="0.4">
      <c r="A7" s="813" t="s">
        <v>162</v>
      </c>
      <c r="B7" s="810">
        <v>287766</v>
      </c>
      <c r="C7" s="810">
        <v>705406</v>
      </c>
      <c r="D7" s="810">
        <v>279782</v>
      </c>
      <c r="E7" s="810">
        <v>140179</v>
      </c>
      <c r="F7" s="810">
        <v>45849</v>
      </c>
      <c r="G7" s="810">
        <v>238103</v>
      </c>
      <c r="H7" s="810">
        <v>50087</v>
      </c>
      <c r="I7" s="789">
        <v>896979</v>
      </c>
      <c r="J7" s="811">
        <v>943</v>
      </c>
      <c r="K7" s="812">
        <f t="shared" si="0"/>
        <v>2645094</v>
      </c>
      <c r="L7" s="141">
        <v>5</v>
      </c>
      <c r="M7" s="141">
        <v>267625</v>
      </c>
      <c r="N7" s="141">
        <v>165</v>
      </c>
      <c r="O7" s="141">
        <v>260477</v>
      </c>
      <c r="P7" s="141">
        <v>292192</v>
      </c>
      <c r="Q7" s="141">
        <v>1034042</v>
      </c>
      <c r="R7" s="141">
        <v>144614</v>
      </c>
      <c r="S7" s="141">
        <v>49906</v>
      </c>
      <c r="T7" s="141">
        <v>599129</v>
      </c>
      <c r="U7" s="141">
        <v>3672</v>
      </c>
      <c r="V7" s="141">
        <v>2651822</v>
      </c>
      <c r="X7" s="150"/>
    </row>
    <row r="8" spans="1:43" ht="19.5" x14ac:dyDescent="0.4">
      <c r="A8" s="813" t="s">
        <v>163</v>
      </c>
      <c r="B8" s="810">
        <v>297471</v>
      </c>
      <c r="C8" s="810">
        <v>738619</v>
      </c>
      <c r="D8" s="810">
        <v>276657</v>
      </c>
      <c r="E8" s="810">
        <v>139785</v>
      </c>
      <c r="F8" s="810">
        <v>48161</v>
      </c>
      <c r="G8" s="810">
        <v>232075</v>
      </c>
      <c r="H8" s="810">
        <v>49345</v>
      </c>
      <c r="I8" s="789">
        <v>835546</v>
      </c>
      <c r="J8" s="811"/>
      <c r="K8" s="812">
        <f t="shared" si="0"/>
        <v>2617659</v>
      </c>
      <c r="L8" s="141">
        <v>6</v>
      </c>
      <c r="M8" s="141">
        <v>270030</v>
      </c>
      <c r="N8" s="141">
        <v>222</v>
      </c>
      <c r="O8" s="141">
        <v>228742</v>
      </c>
      <c r="P8" s="141">
        <v>302244</v>
      </c>
      <c r="Q8" s="141">
        <v>1030261</v>
      </c>
      <c r="R8" s="141">
        <v>142238</v>
      </c>
      <c r="S8" s="141">
        <v>55588</v>
      </c>
      <c r="T8" s="141">
        <v>625721</v>
      </c>
      <c r="U8" s="141">
        <v>3596</v>
      </c>
      <c r="V8" s="141">
        <v>2658642</v>
      </c>
      <c r="X8" s="150"/>
    </row>
    <row r="9" spans="1:43" ht="19.5" x14ac:dyDescent="0.4">
      <c r="A9" s="813" t="s">
        <v>164</v>
      </c>
      <c r="B9" s="810">
        <v>289303</v>
      </c>
      <c r="C9" s="810">
        <v>721697</v>
      </c>
      <c r="D9" s="810">
        <v>256351</v>
      </c>
      <c r="E9" s="810">
        <v>134065</v>
      </c>
      <c r="F9" s="810">
        <v>42755</v>
      </c>
      <c r="G9" s="810">
        <v>233620</v>
      </c>
      <c r="H9" s="810">
        <v>53527</v>
      </c>
      <c r="I9" s="789">
        <v>815327</v>
      </c>
      <c r="J9" s="811"/>
      <c r="K9" s="812">
        <f t="shared" si="0"/>
        <v>2546645</v>
      </c>
      <c r="L9" s="141">
        <v>7</v>
      </c>
      <c r="M9" s="141">
        <v>217678</v>
      </c>
      <c r="N9" s="141">
        <v>74</v>
      </c>
      <c r="O9" s="141">
        <v>204106</v>
      </c>
      <c r="P9" s="141">
        <v>254458</v>
      </c>
      <c r="Q9" s="141">
        <v>826918</v>
      </c>
      <c r="R9" s="141">
        <v>105596</v>
      </c>
      <c r="S9" s="141">
        <v>41250</v>
      </c>
      <c r="T9" s="141">
        <v>657225</v>
      </c>
      <c r="U9" s="141">
        <v>3598</v>
      </c>
      <c r="V9" s="141">
        <v>2310903</v>
      </c>
      <c r="X9" s="150"/>
    </row>
    <row r="10" spans="1:43" ht="19.5" x14ac:dyDescent="0.4">
      <c r="A10" s="813" t="s">
        <v>520</v>
      </c>
      <c r="B10" s="810">
        <v>293605</v>
      </c>
      <c r="C10" s="810">
        <v>700065</v>
      </c>
      <c r="D10" s="810">
        <v>256139</v>
      </c>
      <c r="E10" s="810">
        <v>126071</v>
      </c>
      <c r="F10" s="810">
        <v>41901</v>
      </c>
      <c r="G10" s="810">
        <v>241475</v>
      </c>
      <c r="H10" s="810">
        <v>54848</v>
      </c>
      <c r="I10" s="789">
        <v>839278</v>
      </c>
      <c r="J10" s="811"/>
      <c r="K10" s="812">
        <f t="shared" si="0"/>
        <v>2553382</v>
      </c>
      <c r="L10" s="141">
        <v>8</v>
      </c>
      <c r="M10" s="141">
        <v>239764</v>
      </c>
      <c r="N10" s="141">
        <v>67</v>
      </c>
      <c r="O10" s="141">
        <v>243367</v>
      </c>
      <c r="P10" s="141">
        <v>257937</v>
      </c>
      <c r="Q10" s="141">
        <v>841240</v>
      </c>
      <c r="R10" s="141">
        <v>109272</v>
      </c>
      <c r="S10" s="141">
        <v>44888</v>
      </c>
      <c r="T10" s="141">
        <v>667335</v>
      </c>
      <c r="U10" s="141">
        <v>2720</v>
      </c>
      <c r="V10" s="141">
        <v>2406590</v>
      </c>
      <c r="X10" s="150"/>
    </row>
    <row r="11" spans="1:43" ht="19.5" x14ac:dyDescent="0.4">
      <c r="A11" s="813" t="s">
        <v>166</v>
      </c>
      <c r="B11" s="810">
        <v>287830</v>
      </c>
      <c r="C11" s="810">
        <v>686324</v>
      </c>
      <c r="D11" s="810">
        <v>248484</v>
      </c>
      <c r="E11" s="810">
        <v>120511</v>
      </c>
      <c r="F11" s="810">
        <v>44136</v>
      </c>
      <c r="G11" s="810">
        <v>238035</v>
      </c>
      <c r="H11" s="810">
        <v>54276</v>
      </c>
      <c r="I11" s="789">
        <v>819973</v>
      </c>
      <c r="J11" s="811"/>
      <c r="K11" s="812">
        <f t="shared" si="0"/>
        <v>2499569</v>
      </c>
      <c r="L11" s="141">
        <v>9</v>
      </c>
      <c r="M11" s="141">
        <v>239516</v>
      </c>
      <c r="N11" s="141">
        <v>42</v>
      </c>
      <c r="O11" s="141">
        <v>192945</v>
      </c>
      <c r="P11" s="141">
        <v>271182</v>
      </c>
      <c r="Q11" s="141">
        <v>805978</v>
      </c>
      <c r="R11" s="141">
        <v>104390</v>
      </c>
      <c r="S11" s="141">
        <v>39732</v>
      </c>
      <c r="T11" s="141">
        <v>627225</v>
      </c>
      <c r="U11" s="141">
        <v>3154</v>
      </c>
      <c r="V11" s="141">
        <v>2284164</v>
      </c>
      <c r="X11" s="150"/>
    </row>
    <row r="12" spans="1:43" ht="19.5" x14ac:dyDescent="0.4">
      <c r="A12" s="813" t="s">
        <v>521</v>
      </c>
      <c r="B12" s="810">
        <v>263231</v>
      </c>
      <c r="C12" s="810">
        <v>647904</v>
      </c>
      <c r="D12" s="810">
        <v>237319</v>
      </c>
      <c r="E12" s="810">
        <v>114729</v>
      </c>
      <c r="F12" s="810">
        <v>39806</v>
      </c>
      <c r="G12" s="810">
        <v>236236</v>
      </c>
      <c r="H12" s="810">
        <v>48788</v>
      </c>
      <c r="I12" s="789">
        <v>774299</v>
      </c>
      <c r="J12" s="811"/>
      <c r="K12" s="812">
        <f t="shared" si="0"/>
        <v>2362312</v>
      </c>
      <c r="L12" s="141">
        <v>10</v>
      </c>
      <c r="M12" s="141">
        <v>226158</v>
      </c>
      <c r="N12" s="141">
        <v>75</v>
      </c>
      <c r="O12" s="141">
        <v>174006</v>
      </c>
      <c r="P12" s="141">
        <v>258504</v>
      </c>
      <c r="Q12" s="141">
        <v>710386</v>
      </c>
      <c r="R12" s="141">
        <v>95426</v>
      </c>
      <c r="S12" s="141">
        <v>38519</v>
      </c>
      <c r="T12" s="141">
        <v>603605</v>
      </c>
      <c r="U12" s="141">
        <v>1118</v>
      </c>
      <c r="V12" s="141">
        <v>2107797</v>
      </c>
      <c r="X12" s="150"/>
    </row>
    <row r="13" spans="1:43" ht="19.5" x14ac:dyDescent="0.4">
      <c r="A13" s="813" t="s">
        <v>168</v>
      </c>
      <c r="B13" s="810">
        <v>293128</v>
      </c>
      <c r="C13" s="810">
        <v>709634</v>
      </c>
      <c r="D13" s="810">
        <v>252628</v>
      </c>
      <c r="E13" s="810">
        <v>124995</v>
      </c>
      <c r="F13" s="810">
        <v>49848</v>
      </c>
      <c r="G13" s="810">
        <v>255426</v>
      </c>
      <c r="H13" s="810">
        <v>49508</v>
      </c>
      <c r="I13" s="789">
        <v>766982</v>
      </c>
      <c r="J13" s="811"/>
      <c r="K13" s="812">
        <f t="shared" si="0"/>
        <v>2502149</v>
      </c>
      <c r="L13" s="141">
        <v>11</v>
      </c>
      <c r="M13" s="141">
        <v>238180</v>
      </c>
      <c r="N13" s="141">
        <v>91</v>
      </c>
      <c r="O13" s="141">
        <v>206206</v>
      </c>
      <c r="P13" s="141">
        <v>281211</v>
      </c>
      <c r="Q13" s="141">
        <v>848151</v>
      </c>
      <c r="R13" s="141">
        <v>119526</v>
      </c>
      <c r="S13" s="141">
        <v>42704</v>
      </c>
      <c r="T13" s="141">
        <v>621047</v>
      </c>
      <c r="U13" s="141">
        <v>1649</v>
      </c>
      <c r="V13" s="141">
        <v>2358765</v>
      </c>
      <c r="X13" s="150"/>
    </row>
    <row r="14" spans="1:43" ht="20.25" thickBot="1" x14ac:dyDescent="0.45">
      <c r="A14" s="814" t="s">
        <v>169</v>
      </c>
      <c r="B14" s="810">
        <v>256870</v>
      </c>
      <c r="C14" s="810">
        <v>575231</v>
      </c>
      <c r="D14" s="810">
        <v>220278</v>
      </c>
      <c r="E14" s="810">
        <v>121960</v>
      </c>
      <c r="F14" s="810">
        <v>40236</v>
      </c>
      <c r="G14" s="810">
        <v>227235</v>
      </c>
      <c r="H14" s="810">
        <v>39103</v>
      </c>
      <c r="I14" s="789">
        <v>762163</v>
      </c>
      <c r="J14" s="811">
        <v>1183</v>
      </c>
      <c r="K14" s="812">
        <f t="shared" si="0"/>
        <v>2244259</v>
      </c>
      <c r="L14" s="141">
        <v>12</v>
      </c>
      <c r="M14" s="150">
        <v>218632</v>
      </c>
      <c r="N14" s="141">
        <v>206</v>
      </c>
      <c r="O14" s="141">
        <v>221344</v>
      </c>
      <c r="P14" s="141">
        <v>275054</v>
      </c>
      <c r="Q14" s="141">
        <v>796170</v>
      </c>
      <c r="R14" s="141">
        <v>122988</v>
      </c>
      <c r="S14" s="141">
        <v>35109</v>
      </c>
      <c r="T14" s="141">
        <v>620250</v>
      </c>
      <c r="U14" s="141">
        <v>600</v>
      </c>
      <c r="V14" s="141">
        <v>2290353</v>
      </c>
      <c r="X14" s="150"/>
    </row>
    <row r="15" spans="1:43" ht="20.25" thickBot="1" x14ac:dyDescent="0.45">
      <c r="A15" s="804" t="s">
        <v>170</v>
      </c>
      <c r="B15" s="815">
        <f>SUM(B3:B14)</f>
        <v>3451882</v>
      </c>
      <c r="C15" s="815">
        <f t="shared" ref="C15:K15" si="1">SUM(C3:C14)</f>
        <v>8378101</v>
      </c>
      <c r="D15" s="815">
        <f t="shared" si="1"/>
        <v>3101577</v>
      </c>
      <c r="E15" s="815">
        <f t="shared" si="1"/>
        <v>1546818</v>
      </c>
      <c r="F15" s="815">
        <f t="shared" si="1"/>
        <v>537617</v>
      </c>
      <c r="G15" s="815">
        <f t="shared" si="1"/>
        <v>3003543</v>
      </c>
      <c r="H15" s="815">
        <f t="shared" si="1"/>
        <v>620802</v>
      </c>
      <c r="I15" s="815">
        <f t="shared" si="1"/>
        <v>9495900</v>
      </c>
      <c r="J15" s="815">
        <f t="shared" si="1"/>
        <v>4744</v>
      </c>
      <c r="K15" s="816">
        <f t="shared" si="1"/>
        <v>30140984</v>
      </c>
      <c r="L15" s="141" t="s">
        <v>1075</v>
      </c>
      <c r="M15" s="141">
        <v>2882736</v>
      </c>
      <c r="N15" s="141">
        <v>1020</v>
      </c>
      <c r="O15" s="141">
        <v>2571851</v>
      </c>
      <c r="P15" s="141">
        <v>3267372</v>
      </c>
      <c r="Q15" s="141">
        <v>10026138</v>
      </c>
      <c r="R15" s="141">
        <v>1412042</v>
      </c>
      <c r="S15" s="141">
        <v>536207</v>
      </c>
      <c r="T15" s="141">
        <v>7361541</v>
      </c>
      <c r="U15" s="141">
        <v>34073</v>
      </c>
      <c r="V15" s="141">
        <v>28092980</v>
      </c>
      <c r="X15" s="150"/>
    </row>
    <row r="16" spans="1:43" x14ac:dyDescent="0.4">
      <c r="A16" s="2862" t="s">
        <v>1085</v>
      </c>
      <c r="B16" s="2862"/>
      <c r="C16" s="2862"/>
      <c r="D16" s="150"/>
      <c r="M16" s="150">
        <v>271988</v>
      </c>
    </row>
    <row r="17" spans="1:43" ht="12" customHeight="1" x14ac:dyDescent="0.4"/>
    <row r="18" spans="1:43" ht="11.25" customHeight="1" x14ac:dyDescent="0.4">
      <c r="D18" s="150"/>
      <c r="J18" s="150"/>
    </row>
    <row r="19" spans="1:43" ht="8.25" customHeight="1" x14ac:dyDescent="0.4"/>
    <row r="20" spans="1:43" ht="10.5" customHeight="1" x14ac:dyDescent="0.4"/>
    <row r="21" spans="1:43" ht="12" customHeight="1" x14ac:dyDescent="0.4"/>
    <row r="22" spans="1:43" ht="31.5" customHeight="1" thickBot="1" x14ac:dyDescent="0.45">
      <c r="A22" s="2861" t="s">
        <v>1861</v>
      </c>
      <c r="B22" s="2861"/>
      <c r="C22" s="2861"/>
      <c r="D22" s="2861"/>
      <c r="E22" s="2861"/>
      <c r="F22" s="2861"/>
      <c r="G22" s="2861"/>
      <c r="H22" s="2861"/>
      <c r="I22" s="2861"/>
      <c r="J22" s="2861"/>
      <c r="K22" s="2861"/>
    </row>
    <row r="23" spans="1:43" ht="51" customHeight="1" thickBot="1" x14ac:dyDescent="0.45">
      <c r="A23" s="804" t="s">
        <v>1076</v>
      </c>
      <c r="B23" s="805" t="s">
        <v>201</v>
      </c>
      <c r="C23" s="806" t="s">
        <v>99</v>
      </c>
      <c r="D23" s="807" t="s">
        <v>1077</v>
      </c>
      <c r="E23" s="806" t="s">
        <v>96</v>
      </c>
      <c r="F23" s="807" t="s">
        <v>1078</v>
      </c>
      <c r="G23" s="807" t="s">
        <v>1079</v>
      </c>
      <c r="H23" s="807" t="s">
        <v>113</v>
      </c>
      <c r="I23" s="806" t="s">
        <v>1080</v>
      </c>
      <c r="J23" s="808" t="s">
        <v>1081</v>
      </c>
      <c r="K23" s="804" t="s">
        <v>170</v>
      </c>
      <c r="L23" s="141" t="s">
        <v>1082</v>
      </c>
      <c r="M23" s="141" t="s">
        <v>201</v>
      </c>
      <c r="N23" s="141" t="s">
        <v>1083</v>
      </c>
      <c r="O23" s="141" t="s">
        <v>107</v>
      </c>
      <c r="P23" s="141" t="s">
        <v>106</v>
      </c>
      <c r="Q23" s="141" t="s">
        <v>99</v>
      </c>
      <c r="R23" s="141" t="s">
        <v>96</v>
      </c>
      <c r="S23" s="141" t="s">
        <v>199</v>
      </c>
      <c r="T23" s="141" t="s">
        <v>1080</v>
      </c>
      <c r="U23" s="141" t="s">
        <v>1084</v>
      </c>
      <c r="V23" s="141" t="s">
        <v>1075</v>
      </c>
    </row>
    <row r="24" spans="1:43" ht="19.5" x14ac:dyDescent="0.4">
      <c r="A24" s="809" t="s">
        <v>158</v>
      </c>
      <c r="B24" s="810">
        <v>163565.242</v>
      </c>
      <c r="C24" s="810">
        <v>576544.04</v>
      </c>
      <c r="D24" s="810">
        <v>42060.233</v>
      </c>
      <c r="E24" s="810">
        <v>156209.09899999999</v>
      </c>
      <c r="F24" s="810">
        <v>35331.381000000001</v>
      </c>
      <c r="G24" s="810">
        <v>213571.57699999999</v>
      </c>
      <c r="H24" s="810">
        <v>55266.559000000001</v>
      </c>
      <c r="I24" s="810">
        <v>65008.84</v>
      </c>
      <c r="J24" s="810">
        <v>2488.5</v>
      </c>
      <c r="K24" s="812">
        <f>SUM(B24:J24)</f>
        <v>1310045.4710000001</v>
      </c>
      <c r="L24" s="141">
        <v>1</v>
      </c>
      <c r="M24" s="141">
        <v>266982</v>
      </c>
      <c r="O24" s="141">
        <v>228858</v>
      </c>
      <c r="P24" s="141">
        <v>277304</v>
      </c>
      <c r="Q24" s="141">
        <v>855553</v>
      </c>
      <c r="R24" s="141">
        <v>121314</v>
      </c>
      <c r="S24" s="141">
        <v>53817</v>
      </c>
      <c r="T24" s="141">
        <v>556815</v>
      </c>
      <c r="U24" s="141">
        <v>3664</v>
      </c>
      <c r="V24" s="141">
        <v>2364307</v>
      </c>
      <c r="AQ24" s="141">
        <f t="shared" ref="AQ24" si="2">AG24/1000</f>
        <v>0</v>
      </c>
    </row>
    <row r="25" spans="1:43" ht="19.5" x14ac:dyDescent="0.4">
      <c r="A25" s="813" t="s">
        <v>159</v>
      </c>
      <c r="B25" s="810">
        <v>160921.17991130412</v>
      </c>
      <c r="C25" s="810">
        <v>629126.21332729701</v>
      </c>
      <c r="D25" s="810">
        <v>45383.282141370568</v>
      </c>
      <c r="E25" s="810">
        <v>167321.28659985575</v>
      </c>
      <c r="F25" s="810">
        <v>25452.297999999999</v>
      </c>
      <c r="G25" s="810">
        <v>196768.35734922573</v>
      </c>
      <c r="H25" s="810">
        <v>56974.743999999999</v>
      </c>
      <c r="I25" s="810">
        <v>73967.122000000003</v>
      </c>
      <c r="J25" s="810">
        <v>513</v>
      </c>
      <c r="K25" s="812">
        <f t="shared" ref="K25:K36" si="3">SUM(B25:J25)</f>
        <v>1356427.483329053</v>
      </c>
      <c r="L25" s="141">
        <v>2</v>
      </c>
      <c r="M25" s="141">
        <v>227536</v>
      </c>
      <c r="O25" s="141">
        <v>205729</v>
      </c>
      <c r="P25" s="141">
        <v>268929</v>
      </c>
      <c r="Q25" s="141">
        <v>727239</v>
      </c>
      <c r="R25" s="141">
        <v>109816</v>
      </c>
      <c r="S25" s="141">
        <v>44959</v>
      </c>
      <c r="T25" s="141">
        <v>668553</v>
      </c>
      <c r="U25" s="141">
        <v>5008</v>
      </c>
      <c r="V25" s="141">
        <v>2257769</v>
      </c>
    </row>
    <row r="26" spans="1:43" ht="19.5" x14ac:dyDescent="0.4">
      <c r="A26" s="813" t="s">
        <v>160</v>
      </c>
      <c r="B26" s="810">
        <v>162720.20182127197</v>
      </c>
      <c r="C26" s="810">
        <v>609208.13537518913</v>
      </c>
      <c r="D26" s="810">
        <v>38810.016141370565</v>
      </c>
      <c r="E26" s="810">
        <v>166177.08159985574</v>
      </c>
      <c r="F26" s="810">
        <v>26037.944</v>
      </c>
      <c r="G26" s="810">
        <v>206466.86734922574</v>
      </c>
      <c r="H26" s="810">
        <v>57008.106</v>
      </c>
      <c r="I26" s="810">
        <v>75031.847999999998</v>
      </c>
      <c r="J26" s="810"/>
      <c r="K26" s="812">
        <f t="shared" si="3"/>
        <v>1341460.200286913</v>
      </c>
      <c r="L26" s="141">
        <v>3</v>
      </c>
      <c r="M26" s="141">
        <v>205135</v>
      </c>
      <c r="N26" s="141">
        <v>2</v>
      </c>
      <c r="O26" s="141">
        <v>158980</v>
      </c>
      <c r="P26" s="141">
        <v>239120</v>
      </c>
      <c r="Q26" s="141">
        <v>643845</v>
      </c>
      <c r="R26" s="141">
        <v>107980</v>
      </c>
      <c r="S26" s="141">
        <v>40859</v>
      </c>
      <c r="T26" s="141">
        <v>547414</v>
      </c>
      <c r="U26" s="141">
        <v>1774</v>
      </c>
      <c r="V26" s="141">
        <v>1945109</v>
      </c>
    </row>
    <row r="27" spans="1:43" ht="19.5" x14ac:dyDescent="0.4">
      <c r="A27" s="813" t="s">
        <v>161</v>
      </c>
      <c r="B27" s="810">
        <v>173152.02791130412</v>
      </c>
      <c r="C27" s="810">
        <v>603486.12237518921</v>
      </c>
      <c r="D27" s="810">
        <v>38467.924141370568</v>
      </c>
      <c r="E27" s="810">
        <v>167259.98059985574</v>
      </c>
      <c r="F27" s="810">
        <v>26208.591</v>
      </c>
      <c r="G27" s="810">
        <v>197561.25734922572</v>
      </c>
      <c r="H27" s="810">
        <v>55202.175999999999</v>
      </c>
      <c r="I27" s="810">
        <v>74813.967999999993</v>
      </c>
      <c r="J27" s="810">
        <v>925.5</v>
      </c>
      <c r="K27" s="812">
        <f t="shared" si="3"/>
        <v>1337077.5473769456</v>
      </c>
      <c r="L27" s="141">
        <v>4</v>
      </c>
      <c r="M27" s="141">
        <v>265500</v>
      </c>
      <c r="N27" s="141">
        <v>76</v>
      </c>
      <c r="O27" s="141">
        <v>247091</v>
      </c>
      <c r="P27" s="141">
        <v>289237</v>
      </c>
      <c r="Q27" s="141">
        <v>906355</v>
      </c>
      <c r="R27" s="141">
        <v>128882</v>
      </c>
      <c r="S27" s="141">
        <v>48876</v>
      </c>
      <c r="T27" s="141">
        <v>567222</v>
      </c>
      <c r="U27" s="141">
        <v>3520</v>
      </c>
      <c r="V27" s="141">
        <v>2456759</v>
      </c>
    </row>
    <row r="28" spans="1:43" ht="19.5" x14ac:dyDescent="0.4">
      <c r="A28" s="813" t="s">
        <v>162</v>
      </c>
      <c r="B28" s="810">
        <v>165822.66782127196</v>
      </c>
      <c r="C28" s="810">
        <v>687288.47484669252</v>
      </c>
      <c r="D28" s="810">
        <v>51393.643141370565</v>
      </c>
      <c r="E28" s="810">
        <v>71962.748153436551</v>
      </c>
      <c r="F28" s="810">
        <v>26933.607</v>
      </c>
      <c r="G28" s="810">
        <v>174720.52532414169</v>
      </c>
      <c r="H28" s="810">
        <v>49685.32</v>
      </c>
      <c r="I28" s="810">
        <v>81318.923999999999</v>
      </c>
      <c r="J28" s="810">
        <v>1414.5</v>
      </c>
      <c r="K28" s="812">
        <f t="shared" si="3"/>
        <v>1310540.4102869132</v>
      </c>
      <c r="L28" s="141">
        <v>5</v>
      </c>
      <c r="M28" s="141">
        <v>267625</v>
      </c>
      <c r="N28" s="141">
        <v>165</v>
      </c>
      <c r="O28" s="141">
        <v>260477</v>
      </c>
      <c r="P28" s="141">
        <v>292192</v>
      </c>
      <c r="Q28" s="141">
        <v>1034042</v>
      </c>
      <c r="R28" s="141">
        <v>144614</v>
      </c>
      <c r="S28" s="141">
        <v>49906</v>
      </c>
      <c r="T28" s="141">
        <v>599129</v>
      </c>
      <c r="U28" s="141">
        <v>3672</v>
      </c>
      <c r="V28" s="141">
        <v>2651822</v>
      </c>
    </row>
    <row r="29" spans="1:43" ht="19.5" x14ac:dyDescent="0.4">
      <c r="A29" s="813" t="s">
        <v>163</v>
      </c>
      <c r="B29" s="810">
        <v>170619.81763159137</v>
      </c>
      <c r="C29" s="810">
        <v>708576.09758413513</v>
      </c>
      <c r="D29" s="810">
        <v>50774.724070685283</v>
      </c>
      <c r="E29" s="810">
        <v>71664.189153436557</v>
      </c>
      <c r="F29" s="810">
        <v>27892.881000000001</v>
      </c>
      <c r="G29" s="810">
        <v>170100.86320669032</v>
      </c>
      <c r="H29" s="810">
        <v>47897.006000000001</v>
      </c>
      <c r="I29" s="810">
        <v>77646.622000000003</v>
      </c>
      <c r="J29" s="810"/>
      <c r="K29" s="812">
        <f t="shared" si="3"/>
        <v>1325172.2006465388</v>
      </c>
      <c r="L29" s="141">
        <v>6</v>
      </c>
      <c r="M29" s="141">
        <v>270030</v>
      </c>
      <c r="N29" s="141">
        <v>222</v>
      </c>
      <c r="O29" s="141">
        <v>228742</v>
      </c>
      <c r="P29" s="141">
        <v>302244</v>
      </c>
      <c r="Q29" s="141">
        <v>1030261</v>
      </c>
      <c r="R29" s="141">
        <v>142238</v>
      </c>
      <c r="S29" s="141">
        <v>55588</v>
      </c>
      <c r="T29" s="141">
        <v>625721</v>
      </c>
      <c r="U29" s="141">
        <v>3596</v>
      </c>
      <c r="V29" s="141">
        <v>2658642</v>
      </c>
    </row>
    <row r="30" spans="1:43" ht="19.5" x14ac:dyDescent="0.4">
      <c r="A30" s="813" t="s">
        <v>164</v>
      </c>
      <c r="B30" s="810">
        <v>161540.59898258068</v>
      </c>
      <c r="C30" s="810">
        <v>443970.50842524966</v>
      </c>
      <c r="D30" s="810">
        <v>294990.80012424244</v>
      </c>
      <c r="E30" s="810">
        <v>68924.011153436557</v>
      </c>
      <c r="F30" s="810">
        <v>13362.069</v>
      </c>
      <c r="G30" s="810">
        <v>168095.13587753076</v>
      </c>
      <c r="H30" s="810">
        <v>53450.913</v>
      </c>
      <c r="I30" s="810">
        <v>75204.28</v>
      </c>
      <c r="J30" s="810"/>
      <c r="K30" s="812">
        <f t="shared" si="3"/>
        <v>1279538.31656304</v>
      </c>
      <c r="L30" s="141">
        <v>7</v>
      </c>
      <c r="M30" s="141">
        <v>217678</v>
      </c>
      <c r="N30" s="141">
        <v>74</v>
      </c>
      <c r="O30" s="141">
        <v>204106</v>
      </c>
      <c r="P30" s="141">
        <v>254458</v>
      </c>
      <c r="Q30" s="141">
        <v>826918</v>
      </c>
      <c r="R30" s="141">
        <v>105596</v>
      </c>
      <c r="S30" s="141">
        <v>41250</v>
      </c>
      <c r="T30" s="141">
        <v>657225</v>
      </c>
      <c r="U30" s="141">
        <v>3598</v>
      </c>
      <c r="V30" s="141">
        <v>2310903</v>
      </c>
    </row>
    <row r="31" spans="1:43" ht="19.5" x14ac:dyDescent="0.4">
      <c r="A31" s="813" t="s">
        <v>520</v>
      </c>
      <c r="B31" s="810">
        <v>162734.18779290008</v>
      </c>
      <c r="C31" s="810">
        <v>423938.13316269359</v>
      </c>
      <c r="D31" s="810">
        <v>293215.68005355715</v>
      </c>
      <c r="E31" s="810">
        <v>64090.28415343634</v>
      </c>
      <c r="F31" s="810">
        <v>13008.370999999999</v>
      </c>
      <c r="G31" s="810">
        <v>180423.26476007939</v>
      </c>
      <c r="H31" s="810">
        <v>54672.214</v>
      </c>
      <c r="I31" s="810">
        <v>76375.574999999997</v>
      </c>
      <c r="J31" s="810"/>
      <c r="K31" s="812">
        <f t="shared" si="3"/>
        <v>1268457.7099226664</v>
      </c>
      <c r="L31" s="141">
        <v>8</v>
      </c>
      <c r="M31" s="141">
        <v>239764</v>
      </c>
      <c r="N31" s="141">
        <v>67</v>
      </c>
      <c r="O31" s="141">
        <v>243367</v>
      </c>
      <c r="P31" s="141">
        <v>257937</v>
      </c>
      <c r="Q31" s="141">
        <v>841240</v>
      </c>
      <c r="R31" s="141">
        <v>109272</v>
      </c>
      <c r="S31" s="141">
        <v>44888</v>
      </c>
      <c r="T31" s="141">
        <v>667335</v>
      </c>
      <c r="U31" s="141">
        <v>2720</v>
      </c>
      <c r="V31" s="141">
        <v>2406590</v>
      </c>
    </row>
    <row r="32" spans="1:43" ht="19.5" x14ac:dyDescent="0.4">
      <c r="A32" s="813" t="s">
        <v>166</v>
      </c>
      <c r="B32" s="810">
        <v>159554.86270286792</v>
      </c>
      <c r="C32" s="810">
        <v>330116.58096789685</v>
      </c>
      <c r="D32" s="810">
        <v>282619.47005355713</v>
      </c>
      <c r="E32" s="810">
        <v>61420.39215343634</v>
      </c>
      <c r="F32" s="810">
        <v>13601.445</v>
      </c>
      <c r="G32" s="810">
        <v>271105.23795487604</v>
      </c>
      <c r="H32" s="810">
        <v>53733.341999999997</v>
      </c>
      <c r="I32" s="810">
        <v>75672.058000000005</v>
      </c>
      <c r="J32" s="810"/>
      <c r="K32" s="812">
        <f t="shared" si="3"/>
        <v>1247823.3888326341</v>
      </c>
      <c r="L32" s="141">
        <v>9</v>
      </c>
      <c r="M32" s="141">
        <v>239516</v>
      </c>
      <c r="N32" s="141">
        <v>42</v>
      </c>
      <c r="O32" s="141">
        <v>192945</v>
      </c>
      <c r="P32" s="141">
        <v>271182</v>
      </c>
      <c r="Q32" s="141">
        <v>805978</v>
      </c>
      <c r="R32" s="141">
        <v>104390</v>
      </c>
      <c r="S32" s="141">
        <v>39732</v>
      </c>
      <c r="T32" s="141">
        <v>627225</v>
      </c>
      <c r="U32" s="141">
        <v>3154</v>
      </c>
      <c r="V32" s="141">
        <v>2284164</v>
      </c>
    </row>
    <row r="33" spans="1:23" ht="19.5" x14ac:dyDescent="0.4">
      <c r="A33" s="813" t="s">
        <v>521</v>
      </c>
      <c r="B33" s="810">
        <v>142569.95579290009</v>
      </c>
      <c r="C33" s="810">
        <v>305428.59396789689</v>
      </c>
      <c r="D33" s="810">
        <v>267309.70705355715</v>
      </c>
      <c r="E33" s="810">
        <v>59258.299153436339</v>
      </c>
      <c r="F33" s="810">
        <v>11980.473</v>
      </c>
      <c r="G33" s="810">
        <v>264764.8659548763</v>
      </c>
      <c r="H33" s="810">
        <v>46350.101000000002</v>
      </c>
      <c r="I33" s="810">
        <v>72923.857000000004</v>
      </c>
      <c r="J33" s="810"/>
      <c r="K33" s="812">
        <f t="shared" si="3"/>
        <v>1170585.8529226668</v>
      </c>
      <c r="L33" s="141">
        <v>10</v>
      </c>
      <c r="M33" s="141">
        <v>226158</v>
      </c>
      <c r="N33" s="141">
        <v>75</v>
      </c>
      <c r="O33" s="141">
        <v>174006</v>
      </c>
      <c r="P33" s="141">
        <v>258504</v>
      </c>
      <c r="Q33" s="141">
        <v>710386</v>
      </c>
      <c r="R33" s="141">
        <v>95426</v>
      </c>
      <c r="S33" s="141">
        <v>38519</v>
      </c>
      <c r="T33" s="141">
        <v>603605</v>
      </c>
      <c r="U33" s="141">
        <v>1118</v>
      </c>
      <c r="V33" s="141">
        <v>2107797</v>
      </c>
    </row>
    <row r="34" spans="1:23" ht="19.5" x14ac:dyDescent="0.4">
      <c r="A34" s="813" t="s">
        <v>168</v>
      </c>
      <c r="B34" s="810">
        <v>165297.67770286792</v>
      </c>
      <c r="C34" s="810">
        <v>352301.88396789687</v>
      </c>
      <c r="D34" s="810">
        <v>292717.00805355713</v>
      </c>
      <c r="E34" s="810">
        <v>63642.754153436341</v>
      </c>
      <c r="F34" s="810">
        <v>16084.404</v>
      </c>
      <c r="G34" s="810">
        <v>282825.33095487609</v>
      </c>
      <c r="H34" s="810">
        <v>48597.093999999997</v>
      </c>
      <c r="I34" s="810">
        <v>73331.956999999995</v>
      </c>
      <c r="J34" s="810"/>
      <c r="K34" s="812">
        <f t="shared" si="3"/>
        <v>1294798.1098326345</v>
      </c>
      <c r="L34" s="141">
        <v>11</v>
      </c>
      <c r="M34" s="141">
        <v>238180</v>
      </c>
      <c r="N34" s="141">
        <v>91</v>
      </c>
      <c r="O34" s="141">
        <v>206206</v>
      </c>
      <c r="P34" s="141">
        <v>281211</v>
      </c>
      <c r="Q34" s="141">
        <v>848151</v>
      </c>
      <c r="R34" s="141">
        <v>119526</v>
      </c>
      <c r="S34" s="141">
        <v>42704</v>
      </c>
      <c r="T34" s="141">
        <v>621047</v>
      </c>
      <c r="U34" s="141">
        <v>1649</v>
      </c>
      <c r="V34" s="141">
        <v>2358765</v>
      </c>
    </row>
    <row r="35" spans="1:23" ht="20.25" thickBot="1" x14ac:dyDescent="0.45">
      <c r="A35" s="814" t="s">
        <v>169</v>
      </c>
      <c r="B35" s="810">
        <v>144255.78400000001</v>
      </c>
      <c r="C35" s="810">
        <v>273587.22600000002</v>
      </c>
      <c r="D35" s="810">
        <v>254923.95499999999</v>
      </c>
      <c r="E35" s="810">
        <v>63620.58</v>
      </c>
      <c r="F35" s="810">
        <v>12654.209000000001</v>
      </c>
      <c r="G35" s="810">
        <v>256150.65</v>
      </c>
      <c r="H35" s="810">
        <v>36908.913999999997</v>
      </c>
      <c r="I35" s="810">
        <v>73279.233999999997</v>
      </c>
      <c r="J35" s="810">
        <v>1213.0519999999999</v>
      </c>
      <c r="K35" s="812">
        <f t="shared" si="3"/>
        <v>1116593.6039999998</v>
      </c>
      <c r="L35" s="141">
        <v>12</v>
      </c>
      <c r="M35" s="150">
        <v>218632</v>
      </c>
      <c r="N35" s="141">
        <v>206</v>
      </c>
      <c r="O35" s="141">
        <v>221344</v>
      </c>
      <c r="P35" s="141">
        <v>275054</v>
      </c>
      <c r="Q35" s="141">
        <v>796170</v>
      </c>
      <c r="R35" s="141">
        <v>122988</v>
      </c>
      <c r="S35" s="141">
        <v>35109</v>
      </c>
      <c r="T35" s="141">
        <v>620250</v>
      </c>
      <c r="U35" s="141">
        <v>600</v>
      </c>
      <c r="V35" s="141">
        <v>2290353</v>
      </c>
    </row>
    <row r="36" spans="1:23" ht="20.25" thickBot="1" x14ac:dyDescent="0.45">
      <c r="A36" s="804" t="s">
        <v>170</v>
      </c>
      <c r="B36" s="815">
        <f t="shared" ref="B36:G36" si="4">SUM(B24:B35)</f>
        <v>1932754.2040708601</v>
      </c>
      <c r="C36" s="815">
        <f t="shared" si="4"/>
        <v>5943572.0100001357</v>
      </c>
      <c r="D36" s="815">
        <f t="shared" si="4"/>
        <v>1952666.4429746387</v>
      </c>
      <c r="E36" s="815">
        <f t="shared" si="4"/>
        <v>1181550.7058736223</v>
      </c>
      <c r="F36" s="815">
        <f t="shared" si="4"/>
        <v>248547.67300000001</v>
      </c>
      <c r="G36" s="815">
        <f t="shared" si="4"/>
        <v>2582553.9330807477</v>
      </c>
      <c r="H36" s="815">
        <f>SUM(H24:H35)</f>
        <v>615746.48899999994</v>
      </c>
      <c r="I36" s="815">
        <f t="shared" ref="I36:J36" si="5">SUM(I24:I35)</f>
        <v>894574.28499999992</v>
      </c>
      <c r="J36" s="817">
        <f t="shared" si="5"/>
        <v>6554.5519999999997</v>
      </c>
      <c r="K36" s="816">
        <f t="shared" si="3"/>
        <v>15358520.295000004</v>
      </c>
      <c r="L36" s="141" t="s">
        <v>1075</v>
      </c>
      <c r="M36" s="141">
        <v>2882736</v>
      </c>
      <c r="N36" s="141">
        <v>1020</v>
      </c>
      <c r="O36" s="141">
        <v>2571851</v>
      </c>
      <c r="P36" s="141">
        <v>3267372</v>
      </c>
      <c r="Q36" s="141">
        <v>10026138</v>
      </c>
      <c r="R36" s="141">
        <v>1412042</v>
      </c>
      <c r="S36" s="141">
        <v>536207</v>
      </c>
      <c r="T36" s="141">
        <v>7361541</v>
      </c>
      <c r="U36" s="141">
        <v>34073</v>
      </c>
      <c r="V36" s="141">
        <v>28092980</v>
      </c>
      <c r="W36" s="150"/>
    </row>
    <row r="37" spans="1:23" x14ac:dyDescent="0.4">
      <c r="A37" s="2862" t="s">
        <v>1085</v>
      </c>
      <c r="B37" s="2862"/>
      <c r="C37" s="2862"/>
      <c r="D37" s="150"/>
      <c r="M37" s="150">
        <v>2216974.8140000002</v>
      </c>
    </row>
  </sheetData>
  <mergeCells count="4">
    <mergeCell ref="A1:K1"/>
    <mergeCell ref="A16:C16"/>
    <mergeCell ref="A22:K22"/>
    <mergeCell ref="A37:C37"/>
  </mergeCells>
  <printOptions horizontalCentered="1" verticalCentered="1"/>
  <pageMargins left="0" right="0" top="0" bottom="0" header="0" footer="0"/>
  <pageSetup paperSize="9" scale="3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AW41"/>
  <sheetViews>
    <sheetView rightToLeft="1" view="pageBreakPreview" zoomScaleNormal="85" zoomScaleSheetLayoutView="100" workbookViewId="0">
      <pane ySplit="2" topLeftCell="A9" activePane="bottomLeft" state="frozen"/>
      <selection activeCell="C20" sqref="C20"/>
      <selection pane="bottomLeft" activeCell="C20" sqref="C20"/>
    </sheetView>
  </sheetViews>
  <sheetFormatPr defaultColWidth="7" defaultRowHeight="15.75" x14ac:dyDescent="0.2"/>
  <cols>
    <col min="1" max="1" width="10" style="44" customWidth="1"/>
    <col min="2" max="2" width="7" style="44" customWidth="1"/>
    <col min="3" max="3" width="7.375" style="44" customWidth="1"/>
    <col min="4" max="4" width="12.25" style="44" bestFit="1" customWidth="1"/>
    <col min="5" max="5" width="10" style="44" bestFit="1" customWidth="1"/>
    <col min="6" max="7" width="11.25" style="44" bestFit="1" customWidth="1"/>
    <col min="8" max="8" width="9.125" style="44" bestFit="1" customWidth="1"/>
    <col min="9" max="9" width="10.25" style="44" bestFit="1" customWidth="1"/>
    <col min="10" max="10" width="10.375" style="44" bestFit="1" customWidth="1"/>
    <col min="11" max="11" width="10.125" style="44" bestFit="1" customWidth="1"/>
    <col min="12" max="12" width="11.375" style="44" bestFit="1" customWidth="1"/>
    <col min="13" max="13" width="10.375" style="44" bestFit="1" customWidth="1"/>
    <col min="14" max="14" width="11.125" style="44" bestFit="1" customWidth="1"/>
    <col min="15" max="15" width="11.375" style="44" bestFit="1" customWidth="1"/>
    <col min="16" max="16" width="12.375" style="44" bestFit="1" customWidth="1"/>
    <col min="17" max="17" width="10" style="44" bestFit="1" customWidth="1"/>
    <col min="18" max="18" width="9.625" style="44" bestFit="1" customWidth="1"/>
    <col min="19" max="19" width="12" style="44" bestFit="1" customWidth="1"/>
    <col min="20" max="21" width="10.125" style="44" bestFit="1" customWidth="1"/>
    <col min="22" max="22" width="12" style="44" bestFit="1" customWidth="1"/>
    <col min="23" max="23" width="10.375" style="44" bestFit="1" customWidth="1"/>
    <col min="24" max="24" width="9.875" style="44" bestFit="1" customWidth="1"/>
    <col min="25" max="25" width="8.875" style="44" bestFit="1" customWidth="1"/>
    <col min="26" max="26" width="8.5" style="44" customWidth="1"/>
    <col min="27" max="27" width="13" style="44" customWidth="1"/>
    <col min="28" max="28" width="7" style="44"/>
    <col min="29" max="29" width="8.625" style="44" customWidth="1"/>
    <col min="30" max="16384" width="7" style="44"/>
  </cols>
  <sheetData>
    <row r="1" spans="1:49" ht="41.25" customHeight="1" thickBot="1" x14ac:dyDescent="0.25">
      <c r="A1" s="2721" t="s">
        <v>1936</v>
      </c>
      <c r="B1" s="2721"/>
      <c r="C1" s="2721"/>
      <c r="D1" s="2721"/>
      <c r="E1" s="2721"/>
      <c r="F1" s="2721"/>
      <c r="G1" s="2721"/>
      <c r="H1" s="2721"/>
      <c r="I1" s="2721"/>
      <c r="J1" s="2721"/>
      <c r="K1" s="2721"/>
      <c r="L1" s="2721"/>
      <c r="M1" s="2721"/>
      <c r="N1" s="2721"/>
      <c r="O1" s="2721"/>
      <c r="P1" s="2721"/>
      <c r="Q1" s="2721"/>
      <c r="R1" s="2721"/>
      <c r="S1" s="2721"/>
      <c r="T1" s="2721"/>
      <c r="U1" s="2721"/>
      <c r="V1" s="2721"/>
      <c r="W1" s="2721"/>
      <c r="X1" s="2721"/>
      <c r="Y1" s="2721"/>
      <c r="Z1" s="2721"/>
      <c r="AA1" s="2721"/>
    </row>
    <row r="2" spans="1:49" ht="66.75" customHeight="1" thickBot="1" x14ac:dyDescent="0.25">
      <c r="A2" s="2700" t="s">
        <v>118</v>
      </c>
      <c r="B2" s="2701"/>
      <c r="C2" s="1634" t="s">
        <v>119</v>
      </c>
      <c r="D2" s="2308" t="s">
        <v>107</v>
      </c>
      <c r="E2" s="2309" t="s">
        <v>112</v>
      </c>
      <c r="F2" s="2309" t="s">
        <v>198</v>
      </c>
      <c r="G2" s="2309" t="s">
        <v>102</v>
      </c>
      <c r="H2" s="2309" t="s">
        <v>199</v>
      </c>
      <c r="I2" s="2309" t="s">
        <v>113</v>
      </c>
      <c r="J2" s="2309" t="s">
        <v>589</v>
      </c>
      <c r="K2" s="2309" t="s">
        <v>114</v>
      </c>
      <c r="L2" s="2309" t="s">
        <v>99</v>
      </c>
      <c r="M2" s="2309" t="s">
        <v>110</v>
      </c>
      <c r="N2" s="2309" t="s">
        <v>201</v>
      </c>
      <c r="O2" s="2309" t="s">
        <v>97</v>
      </c>
      <c r="P2" s="2309" t="s">
        <v>202</v>
      </c>
      <c r="Q2" s="2309" t="s">
        <v>105</v>
      </c>
      <c r="R2" s="2309" t="s">
        <v>106</v>
      </c>
      <c r="S2" s="2309" t="s">
        <v>101</v>
      </c>
      <c r="T2" s="2309" t="s">
        <v>108</v>
      </c>
      <c r="U2" s="2309" t="s">
        <v>111</v>
      </c>
      <c r="V2" s="2309" t="s">
        <v>96</v>
      </c>
      <c r="W2" s="2309" t="s">
        <v>104</v>
      </c>
      <c r="X2" s="2309" t="s">
        <v>109</v>
      </c>
      <c r="Y2" s="2309" t="s">
        <v>203</v>
      </c>
      <c r="Z2" s="2309" t="s">
        <v>204</v>
      </c>
      <c r="AA2" s="2310" t="s">
        <v>170</v>
      </c>
      <c r="AF2" s="104">
        <v>2278.096751</v>
      </c>
      <c r="AG2" s="44">
        <f>AF2/1000000</f>
        <v>2.2780967509999999E-3</v>
      </c>
    </row>
    <row r="3" spans="1:49" ht="58.5" customHeight="1" x14ac:dyDescent="0.2">
      <c r="A3" s="2722" t="s">
        <v>120</v>
      </c>
      <c r="B3" s="2723"/>
      <c r="C3" s="2304" t="s">
        <v>121</v>
      </c>
      <c r="D3" s="2312">
        <v>572.76499999999999</v>
      </c>
      <c r="E3" s="2312">
        <v>156</v>
      </c>
      <c r="F3" s="2312">
        <v>443.9</v>
      </c>
      <c r="G3" s="2312">
        <v>704.005</v>
      </c>
      <c r="H3" s="2312">
        <v>330.1</v>
      </c>
      <c r="I3" s="2312">
        <v>335.5</v>
      </c>
      <c r="J3" s="2312">
        <v>1067.5</v>
      </c>
      <c r="K3" s="2312">
        <v>164.072</v>
      </c>
      <c r="L3" s="2312">
        <v>734.58600000000001</v>
      </c>
      <c r="M3" s="2312">
        <v>278.96199999999999</v>
      </c>
      <c r="N3" s="2312">
        <v>991.89200000000005</v>
      </c>
      <c r="O3" s="2312">
        <v>797.46699999999987</v>
      </c>
      <c r="P3" s="2312">
        <v>1076.1510000000001</v>
      </c>
      <c r="Q3" s="2312">
        <v>549.16599999999994</v>
      </c>
      <c r="R3" s="2312">
        <v>483.93100000000004</v>
      </c>
      <c r="S3" s="2312">
        <v>1226.9850000000001</v>
      </c>
      <c r="T3" s="2312">
        <v>536.904</v>
      </c>
      <c r="U3" s="2312">
        <v>235.02199999999999</v>
      </c>
      <c r="V3" s="2312">
        <v>881.04699999999991</v>
      </c>
      <c r="W3" s="2312">
        <v>486.87400000000002</v>
      </c>
      <c r="X3" s="2312">
        <v>400.7</v>
      </c>
      <c r="Y3" s="2337" t="s">
        <v>25</v>
      </c>
      <c r="Z3" s="2338" t="s">
        <v>25</v>
      </c>
      <c r="AA3" s="2313">
        <f>SUM(D3:Z3)</f>
        <v>12453.529000000002</v>
      </c>
      <c r="AF3" s="104">
        <v>1740.119715</v>
      </c>
      <c r="AG3" s="44">
        <f t="shared" ref="AG3:AG14" si="0">AF3/1000000</f>
        <v>1.740119715E-3</v>
      </c>
    </row>
    <row r="4" spans="1:49" ht="36.75" customHeight="1" x14ac:dyDescent="0.2">
      <c r="A4" s="2703" t="s">
        <v>205</v>
      </c>
      <c r="B4" s="2704"/>
      <c r="C4" s="2305" t="s">
        <v>123</v>
      </c>
      <c r="D4" s="2312">
        <v>572.76499999999999</v>
      </c>
      <c r="E4" s="2312">
        <v>156</v>
      </c>
      <c r="F4" s="2312">
        <v>443.9</v>
      </c>
      <c r="G4" s="2312">
        <v>704.005</v>
      </c>
      <c r="H4" s="2312">
        <v>330.1</v>
      </c>
      <c r="I4" s="2312">
        <v>335.5</v>
      </c>
      <c r="J4" s="2312">
        <v>400.7</v>
      </c>
      <c r="K4" s="2312">
        <v>536.904</v>
      </c>
      <c r="L4" s="2312">
        <v>164.072</v>
      </c>
      <c r="M4" s="2312">
        <v>1067.5</v>
      </c>
      <c r="N4" s="2312">
        <v>734.58600000000001</v>
      </c>
      <c r="O4" s="2312">
        <v>278.96199999999999</v>
      </c>
      <c r="P4" s="2312">
        <v>991.89200000000005</v>
      </c>
      <c r="Q4" s="2312">
        <v>797.46699999999987</v>
      </c>
      <c r="R4" s="2312">
        <v>235.02199999999999</v>
      </c>
      <c r="S4" s="2312">
        <v>1076.1510000000001</v>
      </c>
      <c r="T4" s="2312">
        <v>881.04699999999991</v>
      </c>
      <c r="U4" s="2312">
        <v>483.93100000000004</v>
      </c>
      <c r="V4" s="2312">
        <v>549.16599999999994</v>
      </c>
      <c r="W4" s="2312">
        <v>486.87400000000002</v>
      </c>
      <c r="X4" s="2312">
        <v>1226.9850000000001</v>
      </c>
      <c r="Y4" s="2339">
        <v>0</v>
      </c>
      <c r="Z4" s="2339">
        <v>0</v>
      </c>
      <c r="AA4" s="2314">
        <f>SUM(D4:X4)</f>
        <v>12453.529</v>
      </c>
      <c r="AB4" s="65">
        <f>SUM(D4:W4)</f>
        <v>11226.544</v>
      </c>
      <c r="AF4" s="104">
        <v>2874.9612769999999</v>
      </c>
      <c r="AG4" s="44">
        <f t="shared" si="0"/>
        <v>2.8749612769999999E-3</v>
      </c>
    </row>
    <row r="5" spans="1:49" ht="37.5" customHeight="1" x14ac:dyDescent="0.2">
      <c r="A5" s="2703" t="s">
        <v>175</v>
      </c>
      <c r="B5" s="2704"/>
      <c r="C5" s="2305" t="s">
        <v>176</v>
      </c>
      <c r="D5" s="2315">
        <v>1470.51</v>
      </c>
      <c r="E5" s="2316">
        <v>294.625</v>
      </c>
      <c r="F5" s="2316">
        <v>449.02</v>
      </c>
      <c r="G5" s="2316">
        <v>10454.15</v>
      </c>
      <c r="H5" s="2316">
        <v>770.08699999999999</v>
      </c>
      <c r="I5" s="2316">
        <v>860.16399999999999</v>
      </c>
      <c r="J5" s="2316">
        <v>396.63400000000001</v>
      </c>
      <c r="K5" s="2316">
        <v>309.44</v>
      </c>
      <c r="L5" s="2316">
        <v>7824.7250000000004</v>
      </c>
      <c r="M5" s="2316">
        <v>871.52599999999995</v>
      </c>
      <c r="N5" s="2316">
        <v>1139.037</v>
      </c>
      <c r="O5" s="2316">
        <v>739.75400000000002</v>
      </c>
      <c r="P5" s="2316">
        <v>493.41300000000001</v>
      </c>
      <c r="Q5" s="2316">
        <v>608.11400000000003</v>
      </c>
      <c r="R5" s="2316">
        <v>212.43700000000001</v>
      </c>
      <c r="S5" s="2316">
        <v>481.68799999999999</v>
      </c>
      <c r="T5" s="2316">
        <v>191.48699999999999</v>
      </c>
      <c r="U5" s="2316">
        <v>245.292</v>
      </c>
      <c r="V5" s="2316">
        <v>389.10399999999998</v>
      </c>
      <c r="W5" s="2316">
        <v>1650.248</v>
      </c>
      <c r="X5" s="2316">
        <v>289.529</v>
      </c>
      <c r="Y5" s="2340" t="s">
        <v>25</v>
      </c>
      <c r="Z5" s="2341" t="s">
        <v>25</v>
      </c>
      <c r="AA5" s="2317">
        <f t="shared" ref="AA5:AA6" si="1">SUM(D5:Z5)</f>
        <v>30140.984000000008</v>
      </c>
      <c r="AF5" s="104">
        <v>5740.9243040000001</v>
      </c>
      <c r="AG5" s="44">
        <f t="shared" si="0"/>
        <v>5.7409243040000002E-3</v>
      </c>
    </row>
    <row r="6" spans="1:49" ht="37.5" customHeight="1" x14ac:dyDescent="0.2">
      <c r="A6" s="2703" t="s">
        <v>177</v>
      </c>
      <c r="B6" s="2704"/>
      <c r="C6" s="2306" t="s">
        <v>178</v>
      </c>
      <c r="D6" s="2318">
        <v>680.01673410745707</v>
      </c>
      <c r="E6" s="2316">
        <v>69.156879813299838</v>
      </c>
      <c r="F6" s="2318">
        <v>292.30355959257702</v>
      </c>
      <c r="G6" s="2316">
        <v>4078.5730694320546</v>
      </c>
      <c r="H6" s="2318">
        <v>175.04142200000001</v>
      </c>
      <c r="I6" s="2316">
        <v>302.26016137212889</v>
      </c>
      <c r="J6" s="2318">
        <v>176.29448203199809</v>
      </c>
      <c r="K6" s="2316">
        <v>64.076779999999999</v>
      </c>
      <c r="L6" s="2318">
        <v>5370.3255138648428</v>
      </c>
      <c r="M6" s="2316">
        <v>377.72563047811514</v>
      </c>
      <c r="N6" s="2316">
        <v>563.07230700000002</v>
      </c>
      <c r="O6" s="2318">
        <v>537.40232304320546</v>
      </c>
      <c r="P6" s="2316">
        <v>262.69722167954831</v>
      </c>
      <c r="Q6" s="2318">
        <v>413.25961532163279</v>
      </c>
      <c r="R6" s="2316">
        <v>222.43995100000001</v>
      </c>
      <c r="S6" s="2318">
        <v>510.20298874786283</v>
      </c>
      <c r="T6" s="2316">
        <v>98.339732737034623</v>
      </c>
      <c r="U6" s="2318">
        <v>223.0686675594859</v>
      </c>
      <c r="V6" s="2316">
        <v>78.831057254883248</v>
      </c>
      <c r="W6" s="2318">
        <v>694.42614496385579</v>
      </c>
      <c r="X6" s="2316">
        <v>169.00605300000001</v>
      </c>
      <c r="Y6" s="2340" t="s">
        <v>25</v>
      </c>
      <c r="Z6" s="2340" t="s">
        <v>25</v>
      </c>
      <c r="AA6" s="2317">
        <f t="shared" si="1"/>
        <v>15358.520294999982</v>
      </c>
      <c r="AF6" s="104">
        <v>674.76286900000002</v>
      </c>
      <c r="AG6" s="44">
        <f t="shared" si="0"/>
        <v>6.7476286899999997E-4</v>
      </c>
    </row>
    <row r="7" spans="1:49" ht="37.5" customHeight="1" x14ac:dyDescent="0.2">
      <c r="A7" s="2703" t="s">
        <v>136</v>
      </c>
      <c r="B7" s="2704"/>
      <c r="C7" s="2305" t="s">
        <v>137</v>
      </c>
      <c r="D7" s="2302">
        <v>3343.7220000000002</v>
      </c>
      <c r="E7" s="2300">
        <v>185.87</v>
      </c>
      <c r="F7" s="2300">
        <v>1283.3</v>
      </c>
      <c r="G7" s="2300">
        <v>1670.992</v>
      </c>
      <c r="H7" s="2300">
        <v>149.09</v>
      </c>
      <c r="I7" s="2300">
        <v>975.17499999999995</v>
      </c>
      <c r="J7" s="2300">
        <v>355.75099999999998</v>
      </c>
      <c r="K7" s="2300">
        <v>690.77300000000002</v>
      </c>
      <c r="L7" s="2300">
        <v>3065.2060000000001</v>
      </c>
      <c r="M7" s="2300">
        <v>342.28699999999998</v>
      </c>
      <c r="N7" s="2300">
        <v>1270.471</v>
      </c>
      <c r="O7" s="2300">
        <v>2654.0149999999999</v>
      </c>
      <c r="P7" s="2300">
        <v>10572.512000000001</v>
      </c>
      <c r="Q7" s="2300">
        <v>743.16399999999999</v>
      </c>
      <c r="R7" s="2300">
        <v>119.989</v>
      </c>
      <c r="S7" s="2300">
        <v>5583.4120000000003</v>
      </c>
      <c r="T7" s="2300">
        <v>247.22900000000001</v>
      </c>
      <c r="U7" s="2300">
        <v>176.56800000000001</v>
      </c>
      <c r="V7" s="2300">
        <v>6213.7749999999996</v>
      </c>
      <c r="W7" s="2300">
        <v>558.51499999999999</v>
      </c>
      <c r="X7" s="2300">
        <v>309.77999999999997</v>
      </c>
      <c r="Y7" s="2300">
        <v>63.98</v>
      </c>
      <c r="Z7" s="2300">
        <v>55.924999999999997</v>
      </c>
      <c r="AA7" s="2319">
        <f>SUM(D7:Z7)</f>
        <v>40631.501000000011</v>
      </c>
      <c r="AB7" s="89">
        <f>+AA7-'20'!P10</f>
        <v>0</v>
      </c>
      <c r="AF7" s="104">
        <v>5531.5767660000001</v>
      </c>
      <c r="AG7" s="44">
        <f t="shared" si="0"/>
        <v>5.5315767660000003E-3</v>
      </c>
      <c r="AI7" s="105">
        <v>822463.26899999997</v>
      </c>
      <c r="AJ7" s="106">
        <v>466029.89200000011</v>
      </c>
      <c r="AK7" s="106">
        <v>229039.59</v>
      </c>
      <c r="AL7" s="106">
        <v>5118160.0350000001</v>
      </c>
      <c r="AM7" s="106">
        <v>231396.04</v>
      </c>
      <c r="AN7" s="106">
        <v>379577.72800000006</v>
      </c>
      <c r="AO7" s="106">
        <v>3736774.074</v>
      </c>
      <c r="AP7" s="106">
        <v>703380.45</v>
      </c>
      <c r="AQ7" s="106">
        <v>442724.99</v>
      </c>
      <c r="AR7" s="106">
        <v>489434.39400000003</v>
      </c>
      <c r="AS7" s="106">
        <v>729697.61199999996</v>
      </c>
      <c r="AT7" s="106">
        <v>541711.42600000009</v>
      </c>
      <c r="AU7" s="106">
        <v>4.7040000000000006</v>
      </c>
      <c r="AV7" s="106">
        <v>9861.887999999999</v>
      </c>
      <c r="AW7" s="107">
        <v>26485.05</v>
      </c>
    </row>
    <row r="8" spans="1:49" ht="37.5" customHeight="1" x14ac:dyDescent="0.2">
      <c r="A8" s="2703" t="s">
        <v>206</v>
      </c>
      <c r="B8" s="2704"/>
      <c r="C8" s="2306" t="s">
        <v>207</v>
      </c>
      <c r="D8" s="2302">
        <v>943.63608999999997</v>
      </c>
      <c r="E8" s="2300">
        <v>630.93210499999998</v>
      </c>
      <c r="F8" s="2300">
        <v>886.54931999999997</v>
      </c>
      <c r="G8" s="2300">
        <v>871.12522999999999</v>
      </c>
      <c r="H8" s="2300">
        <v>360.92871200000002</v>
      </c>
      <c r="I8" s="2300">
        <v>351.891751</v>
      </c>
      <c r="J8" s="2300">
        <v>811.72372800000005</v>
      </c>
      <c r="K8" s="2300">
        <v>94.968611999999993</v>
      </c>
      <c r="L8" s="2300">
        <v>990.01463799999999</v>
      </c>
      <c r="M8" s="2300">
        <v>399.43599900000004</v>
      </c>
      <c r="N8" s="2300">
        <v>609.70848899999999</v>
      </c>
      <c r="O8" s="2300">
        <v>3721.6066679999999</v>
      </c>
      <c r="P8" s="2300">
        <v>5001.4165679999996</v>
      </c>
      <c r="Q8" s="2300">
        <v>680.44485299999997</v>
      </c>
      <c r="R8" s="2300">
        <v>212.77216000000001</v>
      </c>
      <c r="S8" s="2300">
        <v>5309.9978689999998</v>
      </c>
      <c r="T8" s="2300">
        <v>877.89983999999993</v>
      </c>
      <c r="U8" s="2300">
        <v>689.940787</v>
      </c>
      <c r="V8" s="2300">
        <v>5024.4043779999993</v>
      </c>
      <c r="W8" s="2300">
        <v>47.242605000000005</v>
      </c>
      <c r="X8" s="2300">
        <v>84.279979000000012</v>
      </c>
      <c r="Y8" s="2300">
        <v>70.378</v>
      </c>
      <c r="Z8" s="2300">
        <v>61.517499999999998</v>
      </c>
      <c r="AA8" s="2319">
        <f t="shared" ref="AA8:AA12" si="2">SUM(D8:Z8)</f>
        <v>28732.815880999999</v>
      </c>
      <c r="AB8" s="89">
        <f>+AA8-'20'!P11</f>
        <v>2.4040000025706831E-3</v>
      </c>
      <c r="AF8" s="104">
        <v>3817.7082260000002</v>
      </c>
      <c r="AG8" s="44">
        <f t="shared" si="0"/>
        <v>3.8177082260000004E-3</v>
      </c>
      <c r="AI8" s="44">
        <f>AI7/1000</f>
        <v>822.46326899999997</v>
      </c>
      <c r="AJ8" s="44">
        <f t="shared" ref="AJ8:AW8" si="3">AJ7/1000</f>
        <v>466.02989200000013</v>
      </c>
      <c r="AK8" s="44">
        <f t="shared" si="3"/>
        <v>229.03959</v>
      </c>
      <c r="AL8" s="44">
        <f t="shared" si="3"/>
        <v>5118.1600349999999</v>
      </c>
      <c r="AM8" s="44">
        <f t="shared" si="3"/>
        <v>231.39604</v>
      </c>
      <c r="AN8" s="44">
        <f t="shared" si="3"/>
        <v>379.57772800000004</v>
      </c>
      <c r="AO8" s="44">
        <f t="shared" si="3"/>
        <v>3736.7740739999999</v>
      </c>
      <c r="AP8" s="44">
        <f t="shared" si="3"/>
        <v>703.38045</v>
      </c>
      <c r="AQ8" s="44">
        <f t="shared" si="3"/>
        <v>442.72498999999999</v>
      </c>
      <c r="AR8" s="44">
        <f t="shared" si="3"/>
        <v>489.43439400000005</v>
      </c>
      <c r="AS8" s="44">
        <f t="shared" si="3"/>
        <v>729.69761199999994</v>
      </c>
      <c r="AT8" s="44">
        <f t="shared" si="3"/>
        <v>541.71142600000007</v>
      </c>
      <c r="AU8" s="44">
        <f t="shared" si="3"/>
        <v>4.7040000000000007E-3</v>
      </c>
      <c r="AV8" s="44">
        <f t="shared" si="3"/>
        <v>9.8618879999999987</v>
      </c>
      <c r="AW8" s="44">
        <f t="shared" si="3"/>
        <v>26.485049999999998</v>
      </c>
    </row>
    <row r="9" spans="1:49" ht="37.5" customHeight="1" x14ac:dyDescent="0.2">
      <c r="A9" s="2703" t="s">
        <v>183</v>
      </c>
      <c r="B9" s="2704"/>
      <c r="C9" s="2305" t="s">
        <v>137</v>
      </c>
      <c r="D9" s="2320">
        <v>15229.504000000001</v>
      </c>
      <c r="E9" s="2321">
        <v>10817.163</v>
      </c>
      <c r="F9" s="2321">
        <v>12575.467000000001</v>
      </c>
      <c r="G9" s="2321">
        <v>25958.859</v>
      </c>
      <c r="H9" s="2321">
        <v>9186.4590000000007</v>
      </c>
      <c r="I9" s="2321">
        <v>11645.584000000001</v>
      </c>
      <c r="J9" s="2321">
        <v>10620.603999999999</v>
      </c>
      <c r="K9" s="2321">
        <v>1970.1569999999999</v>
      </c>
      <c r="L9" s="2321">
        <v>18941.642</v>
      </c>
      <c r="M9" s="2321">
        <v>6019.9290000000001</v>
      </c>
      <c r="N9" s="2321">
        <v>8457.0409999999993</v>
      </c>
      <c r="O9" s="2321">
        <v>55457.506999999998</v>
      </c>
      <c r="P9" s="2321">
        <v>56828.517</v>
      </c>
      <c r="Q9" s="2321">
        <v>10773.682000000001</v>
      </c>
      <c r="R9" s="2321">
        <v>3626.1970000000001</v>
      </c>
      <c r="S9" s="2321">
        <v>45961.11</v>
      </c>
      <c r="T9" s="2321">
        <v>22509.690999999999</v>
      </c>
      <c r="U9" s="2321">
        <v>15904.562</v>
      </c>
      <c r="V9" s="2321">
        <v>52813.728000000003</v>
      </c>
      <c r="W9" s="2321">
        <v>1147.3219999999999</v>
      </c>
      <c r="X9" s="2321">
        <v>852.48299999999995</v>
      </c>
      <c r="Y9" s="2337" t="s">
        <v>25</v>
      </c>
      <c r="Z9" s="2338" t="s">
        <v>25</v>
      </c>
      <c r="AA9" s="2319">
        <f t="shared" si="2"/>
        <v>397297.20799999998</v>
      </c>
      <c r="AB9" s="89">
        <f>+AA9-'20'!P13</f>
        <v>0</v>
      </c>
      <c r="AC9" s="89">
        <f>SUM(AA12:AA14)</f>
        <v>166025494.61169499</v>
      </c>
      <c r="AF9" s="104">
        <v>1828.9499370000001</v>
      </c>
      <c r="AG9" s="44">
        <f t="shared" si="0"/>
        <v>1.828949937E-3</v>
      </c>
    </row>
    <row r="10" spans="1:49" ht="37.5" customHeight="1" x14ac:dyDescent="0.2">
      <c r="A10" s="2703" t="s">
        <v>184</v>
      </c>
      <c r="B10" s="2704"/>
      <c r="C10" s="2306" t="s">
        <v>207</v>
      </c>
      <c r="D10" s="2320">
        <v>1433.530915</v>
      </c>
      <c r="E10" s="2321">
        <v>1190.4571539999999</v>
      </c>
      <c r="F10" s="2321">
        <v>1432.4647769999999</v>
      </c>
      <c r="G10" s="2321">
        <v>1612.4810130000001</v>
      </c>
      <c r="H10" s="2321">
        <v>674.35109499999999</v>
      </c>
      <c r="I10" s="2321">
        <v>448.467513</v>
      </c>
      <c r="J10" s="2321">
        <v>1806.9034690000001</v>
      </c>
      <c r="K10" s="2321">
        <v>76.443893000000003</v>
      </c>
      <c r="L10" s="2321">
        <v>1775.5175389999999</v>
      </c>
      <c r="M10" s="2321">
        <v>695.03926300000001</v>
      </c>
      <c r="N10" s="2321">
        <v>1032.107538</v>
      </c>
      <c r="O10" s="2321">
        <v>6257.5948580000004</v>
      </c>
      <c r="P10" s="2321">
        <v>8631.6603899999991</v>
      </c>
      <c r="Q10" s="2321">
        <v>1267.090954</v>
      </c>
      <c r="R10" s="2321">
        <v>396.368156</v>
      </c>
      <c r="S10" s="2321">
        <v>9161.4311469999993</v>
      </c>
      <c r="T10" s="2321">
        <v>1679.3498549999999</v>
      </c>
      <c r="U10" s="2321">
        <v>1290.2780049999999</v>
      </c>
      <c r="V10" s="2321">
        <v>8489.7454500000003</v>
      </c>
      <c r="W10" s="2321">
        <v>72.456834000000001</v>
      </c>
      <c r="X10" s="2321">
        <v>144.49748399999999</v>
      </c>
      <c r="Y10" s="2337" t="s">
        <v>25</v>
      </c>
      <c r="Z10" s="2338" t="s">
        <v>25</v>
      </c>
      <c r="AA10" s="2319">
        <f>SUM(D10:Z10)</f>
        <v>49568.237302000001</v>
      </c>
      <c r="AB10" s="89">
        <f>+AA10-'20'!P14</f>
        <v>-1.700000575510785E-5</v>
      </c>
      <c r="AF10" s="104">
        <v>565.39777500000002</v>
      </c>
      <c r="AG10" s="44">
        <f t="shared" si="0"/>
        <v>5.6539777499999997E-4</v>
      </c>
    </row>
    <row r="11" spans="1:49" ht="37.5" customHeight="1" thickBot="1" x14ac:dyDescent="0.25">
      <c r="A11" s="2705" t="s">
        <v>142</v>
      </c>
      <c r="B11" s="2706"/>
      <c r="C11" s="2307" t="s">
        <v>127</v>
      </c>
      <c r="D11" s="2303">
        <v>74669</v>
      </c>
      <c r="E11" s="2301">
        <v>2992</v>
      </c>
      <c r="F11" s="2301">
        <v>23089</v>
      </c>
      <c r="G11" s="2301">
        <v>33800</v>
      </c>
      <c r="H11" s="2301">
        <v>2735</v>
      </c>
      <c r="I11" s="2301">
        <v>17174</v>
      </c>
      <c r="J11" s="2301">
        <v>6015</v>
      </c>
      <c r="K11" s="2301">
        <v>11551</v>
      </c>
      <c r="L11" s="2301">
        <v>51988</v>
      </c>
      <c r="M11" s="2301">
        <v>5975</v>
      </c>
      <c r="N11" s="2301">
        <v>29238</v>
      </c>
      <c r="O11" s="2301">
        <v>42634</v>
      </c>
      <c r="P11" s="2301">
        <v>142657</v>
      </c>
      <c r="Q11" s="2301">
        <v>11943</v>
      </c>
      <c r="R11" s="2301">
        <v>2810</v>
      </c>
      <c r="S11" s="2301">
        <v>99418</v>
      </c>
      <c r="T11" s="2301">
        <v>3641</v>
      </c>
      <c r="U11" s="2301">
        <v>2828</v>
      </c>
      <c r="V11" s="2301">
        <v>79998</v>
      </c>
      <c r="W11" s="2301">
        <v>8590</v>
      </c>
      <c r="X11" s="2301">
        <v>5132</v>
      </c>
      <c r="Y11" s="2301">
        <v>3199</v>
      </c>
      <c r="Z11" s="2301">
        <v>2237</v>
      </c>
      <c r="AA11" s="2319">
        <f>SUM(D11:Z11)</f>
        <v>664313</v>
      </c>
      <c r="AB11" s="89">
        <f>+AA11-'20'!P15</f>
        <v>0</v>
      </c>
      <c r="AF11" s="104">
        <v>8350.154235</v>
      </c>
      <c r="AG11" s="44">
        <f t="shared" si="0"/>
        <v>8.3501542350000006E-3</v>
      </c>
    </row>
    <row r="12" spans="1:49" ht="38.25" customHeight="1" x14ac:dyDescent="0.2">
      <c r="A12" s="2719" t="s">
        <v>209</v>
      </c>
      <c r="B12" s="2720"/>
      <c r="C12" s="2304" t="s">
        <v>186</v>
      </c>
      <c r="D12" s="2655">
        <v>12480850.895693999</v>
      </c>
      <c r="E12" s="2656">
        <v>162128.20385799999</v>
      </c>
      <c r="F12" s="2656">
        <v>3764888.9995500008</v>
      </c>
      <c r="G12" s="2656">
        <v>4188632.5451500006</v>
      </c>
      <c r="H12" s="2656">
        <v>1352658.709032</v>
      </c>
      <c r="I12" s="2656">
        <v>1987093.6382180003</v>
      </c>
      <c r="J12" s="2656">
        <v>1303633.0471950001</v>
      </c>
      <c r="K12" s="2656">
        <v>527863.49315800006</v>
      </c>
      <c r="L12" s="2656">
        <v>3390387.1374900001</v>
      </c>
      <c r="M12" s="2656">
        <v>672678.57269199996</v>
      </c>
      <c r="N12" s="2656">
        <v>2302764.0507049994</v>
      </c>
      <c r="O12" s="2656">
        <v>22935118.072523002</v>
      </c>
      <c r="P12" s="2656">
        <v>22849814.580687001</v>
      </c>
      <c r="Q12" s="2656">
        <v>1486779.3092439999</v>
      </c>
      <c r="R12" s="2656">
        <v>2465746.9394769999</v>
      </c>
      <c r="S12" s="2656">
        <v>22295767.419109005</v>
      </c>
      <c r="T12" s="2656">
        <v>973403.55625799997</v>
      </c>
      <c r="U12" s="2656">
        <v>302653.87183399999</v>
      </c>
      <c r="V12" s="2656">
        <v>22073756.170770001</v>
      </c>
      <c r="W12" s="2656">
        <v>378877.65674000001</v>
      </c>
      <c r="X12" s="2657" t="s">
        <v>25</v>
      </c>
      <c r="Y12" s="2658" t="s">
        <v>25</v>
      </c>
      <c r="Z12" s="2658" t="s">
        <v>25</v>
      </c>
      <c r="AA12" s="69">
        <f t="shared" si="2"/>
        <v>127895496.86938399</v>
      </c>
      <c r="AC12" s="44">
        <v>7927818843.9960003</v>
      </c>
      <c r="AF12" s="104">
        <v>6410.5908310000004</v>
      </c>
      <c r="AG12" s="44">
        <f t="shared" si="0"/>
        <v>6.4105908310000004E-3</v>
      </c>
    </row>
    <row r="13" spans="1:49" ht="38.25" customHeight="1" x14ac:dyDescent="0.2">
      <c r="A13" s="2707" t="s">
        <v>187</v>
      </c>
      <c r="B13" s="2708"/>
      <c r="C13" s="2304" t="s">
        <v>186</v>
      </c>
      <c r="D13" s="2655">
        <v>0</v>
      </c>
      <c r="E13" s="2656">
        <v>0</v>
      </c>
      <c r="F13" s="2659">
        <v>64127</v>
      </c>
      <c r="G13" s="2659">
        <v>148371</v>
      </c>
      <c r="H13" s="2656">
        <v>0</v>
      </c>
      <c r="I13" s="2659">
        <v>49605</v>
      </c>
      <c r="J13" s="2659">
        <v>99225</v>
      </c>
      <c r="K13" s="2659">
        <v>1387471</v>
      </c>
      <c r="L13" s="2659">
        <v>3432556</v>
      </c>
      <c r="M13" s="2659">
        <v>567011</v>
      </c>
      <c r="N13" s="2659">
        <v>2238653</v>
      </c>
      <c r="O13" s="2659">
        <v>7315</v>
      </c>
      <c r="P13" s="2659">
        <v>62301</v>
      </c>
      <c r="Q13" s="2659">
        <v>347504</v>
      </c>
      <c r="R13" s="2659">
        <v>78243</v>
      </c>
      <c r="S13" s="2659">
        <v>107139</v>
      </c>
      <c r="T13" s="2659">
        <v>59538</v>
      </c>
      <c r="U13" s="2656">
        <v>0</v>
      </c>
      <c r="V13" s="2659">
        <v>951255</v>
      </c>
      <c r="W13" s="2659">
        <v>115867</v>
      </c>
      <c r="X13" s="2656">
        <v>0</v>
      </c>
      <c r="Y13" s="2657" t="s">
        <v>25</v>
      </c>
      <c r="Z13" s="2658" t="s">
        <v>25</v>
      </c>
      <c r="AA13" s="69">
        <f>SUM(D13:Z13)</f>
        <v>9716181</v>
      </c>
      <c r="AC13" s="44">
        <v>7927817.8603680013</v>
      </c>
      <c r="AF13" s="104">
        <v>10030.030015</v>
      </c>
      <c r="AG13" s="44">
        <f t="shared" si="0"/>
        <v>1.0030030015E-2</v>
      </c>
    </row>
    <row r="14" spans="1:49" ht="38.25" customHeight="1" thickBot="1" x14ac:dyDescent="0.25">
      <c r="A14" s="2705" t="s">
        <v>210</v>
      </c>
      <c r="B14" s="2706"/>
      <c r="C14" s="2307" t="s">
        <v>186</v>
      </c>
      <c r="D14" s="2660">
        <v>0</v>
      </c>
      <c r="E14" s="2661">
        <v>0</v>
      </c>
      <c r="F14" s="2661">
        <v>0</v>
      </c>
      <c r="G14" s="2661">
        <v>0</v>
      </c>
      <c r="H14" s="2661">
        <v>0</v>
      </c>
      <c r="I14" s="2661">
        <v>25488999.355999999</v>
      </c>
      <c r="J14" s="2661">
        <v>0</v>
      </c>
      <c r="K14" s="2661">
        <v>285600.114</v>
      </c>
      <c r="L14" s="2661">
        <v>19526.269</v>
      </c>
      <c r="M14" s="2661">
        <v>1219620.0360000001</v>
      </c>
      <c r="N14" s="2661">
        <v>0</v>
      </c>
      <c r="O14" s="2661">
        <v>14102.002</v>
      </c>
      <c r="P14" s="2661">
        <v>0</v>
      </c>
      <c r="Q14" s="2661">
        <v>0</v>
      </c>
      <c r="R14" s="2661">
        <v>48009.345000000001</v>
      </c>
      <c r="S14" s="2661">
        <v>205042.56200000001</v>
      </c>
      <c r="T14" s="2661">
        <v>1104531.6270000001</v>
      </c>
      <c r="U14" s="2661">
        <v>28385.431311</v>
      </c>
      <c r="V14" s="2661">
        <v>0</v>
      </c>
      <c r="W14" s="2661">
        <v>0</v>
      </c>
      <c r="X14" s="2661">
        <v>0</v>
      </c>
      <c r="Y14" s="2657" t="s">
        <v>25</v>
      </c>
      <c r="Z14" s="2658" t="s">
        <v>25</v>
      </c>
      <c r="AA14" s="2322">
        <f>SUM(D14:Z14)</f>
        <v>28413816.742310997</v>
      </c>
      <c r="AC14" s="108">
        <v>7927818.8439960014</v>
      </c>
      <c r="AF14" s="104">
        <v>114.82376600000001</v>
      </c>
      <c r="AG14" s="44">
        <f t="shared" si="0"/>
        <v>1.1482376600000001E-4</v>
      </c>
    </row>
    <row r="15" spans="1:49" ht="38.25" customHeight="1" thickBot="1" x14ac:dyDescent="0.25">
      <c r="A15" s="2700" t="s">
        <v>211</v>
      </c>
      <c r="B15" s="2701"/>
      <c r="C15" s="2311" t="s">
        <v>186</v>
      </c>
      <c r="D15" s="2323">
        <f>SUM(D12:D14)</f>
        <v>12480850.895693999</v>
      </c>
      <c r="E15" s="2324">
        <f t="shared" ref="E15:X15" si="4">SUM(E12:E14)</f>
        <v>162128.20385799999</v>
      </c>
      <c r="F15" s="2324">
        <f t="shared" si="4"/>
        <v>3829015.9995500008</v>
      </c>
      <c r="G15" s="2324">
        <f t="shared" si="4"/>
        <v>4337003.5451500006</v>
      </c>
      <c r="H15" s="2324">
        <f t="shared" si="4"/>
        <v>1352658.709032</v>
      </c>
      <c r="I15" s="2324">
        <f t="shared" si="4"/>
        <v>27525697.994217999</v>
      </c>
      <c r="J15" s="2324">
        <f t="shared" si="4"/>
        <v>1402858.0471950001</v>
      </c>
      <c r="K15" s="2324">
        <f t="shared" si="4"/>
        <v>2200934.6071580001</v>
      </c>
      <c r="L15" s="2324">
        <f t="shared" si="4"/>
        <v>6842469.4064900009</v>
      </c>
      <c r="M15" s="2324">
        <f t="shared" si="4"/>
        <v>2459309.6086919997</v>
      </c>
      <c r="N15" s="2324">
        <f t="shared" si="4"/>
        <v>4541417.0507049989</v>
      </c>
      <c r="O15" s="2324">
        <f t="shared" si="4"/>
        <v>22956535.074523002</v>
      </c>
      <c r="P15" s="2324">
        <f t="shared" si="4"/>
        <v>22912115.580687001</v>
      </c>
      <c r="Q15" s="2324">
        <f t="shared" si="4"/>
        <v>1834283.3092439999</v>
      </c>
      <c r="R15" s="2324">
        <f t="shared" si="4"/>
        <v>2591999.2844770001</v>
      </c>
      <c r="S15" s="2324">
        <f t="shared" si="4"/>
        <v>22607948.981109004</v>
      </c>
      <c r="T15" s="2324">
        <f t="shared" si="4"/>
        <v>2137473.1832579998</v>
      </c>
      <c r="U15" s="2324">
        <f t="shared" si="4"/>
        <v>331039.30314500001</v>
      </c>
      <c r="V15" s="2324">
        <f t="shared" si="4"/>
        <v>23025011.170770001</v>
      </c>
      <c r="W15" s="2324">
        <f t="shared" si="4"/>
        <v>494744.65674000001</v>
      </c>
      <c r="X15" s="2324">
        <f t="shared" si="4"/>
        <v>0</v>
      </c>
      <c r="Y15" s="2325" t="s">
        <v>25</v>
      </c>
      <c r="Z15" s="2325" t="s">
        <v>25</v>
      </c>
      <c r="AA15" s="2326">
        <f>SUM(AA12:AA14)</f>
        <v>166025494.61169499</v>
      </c>
      <c r="AB15" s="65"/>
      <c r="AC15" s="44">
        <v>7927817.8603680013</v>
      </c>
    </row>
    <row r="16" spans="1:49" ht="11.25" customHeight="1" x14ac:dyDescent="0.2">
      <c r="A16" s="110"/>
      <c r="B16" s="2718"/>
      <c r="C16" s="2718"/>
      <c r="D16" s="2718"/>
      <c r="E16" s="2718"/>
      <c r="F16" s="2718"/>
      <c r="AA16" s="65"/>
    </row>
    <row r="17" spans="1:29" ht="39" customHeight="1" x14ac:dyDescent="0.2">
      <c r="A17" s="110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2299"/>
      <c r="V17" s="111"/>
      <c r="W17" s="111"/>
      <c r="X17" s="111"/>
      <c r="Y17" s="111"/>
      <c r="Z17" s="111"/>
      <c r="AA17" s="111"/>
      <c r="AB17" s="111"/>
    </row>
    <row r="18" spans="1:29" x14ac:dyDescent="0.2">
      <c r="Y18" s="111"/>
      <c r="Z18" s="111"/>
      <c r="AC18" s="44">
        <v>66720333.190802</v>
      </c>
    </row>
    <row r="19" spans="1:29" x14ac:dyDescent="0.2">
      <c r="AC19" s="44">
        <v>4544666.3159309998</v>
      </c>
    </row>
    <row r="20" spans="1:29" x14ac:dyDescent="0.2"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C20" s="44">
        <v>7927818.8439960014</v>
      </c>
    </row>
    <row r="21" spans="1:29" x14ac:dyDescent="0.2">
      <c r="C21" s="44" t="s">
        <v>107</v>
      </c>
      <c r="D21" s="44">
        <v>15229504</v>
      </c>
      <c r="E21" s="44">
        <v>1433530915</v>
      </c>
      <c r="F21" s="44">
        <v>1</v>
      </c>
      <c r="G21" s="65" t="s">
        <v>201</v>
      </c>
      <c r="H21" s="65">
        <v>11</v>
      </c>
      <c r="I21" s="65">
        <f>+E21/1000000</f>
        <v>1433.530915</v>
      </c>
      <c r="J21" s="65">
        <v>1433.530915</v>
      </c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C21" s="44">
        <v>79192818.350729004</v>
      </c>
    </row>
    <row r="22" spans="1:29" x14ac:dyDescent="0.2">
      <c r="C22" s="44" t="s">
        <v>112</v>
      </c>
      <c r="D22" s="44">
        <v>10817163</v>
      </c>
      <c r="E22" s="44">
        <v>1190457154</v>
      </c>
      <c r="F22" s="44">
        <v>2</v>
      </c>
      <c r="G22" s="44" t="s">
        <v>198</v>
      </c>
      <c r="H22" s="44">
        <v>3</v>
      </c>
      <c r="I22" s="65">
        <f t="shared" ref="I22:I41" si="5">+E22/1000000</f>
        <v>1190.4571539999999</v>
      </c>
      <c r="J22" s="44">
        <v>1190.4571539999999</v>
      </c>
    </row>
    <row r="23" spans="1:29" x14ac:dyDescent="0.2">
      <c r="C23" s="44" t="s">
        <v>198</v>
      </c>
      <c r="D23" s="44">
        <v>12575467</v>
      </c>
      <c r="E23" s="44">
        <v>1432464777</v>
      </c>
      <c r="F23" s="44">
        <v>3</v>
      </c>
      <c r="G23" s="44" t="s">
        <v>97</v>
      </c>
      <c r="H23" s="44">
        <v>12</v>
      </c>
      <c r="I23" s="65">
        <f t="shared" si="5"/>
        <v>1432.4647769999999</v>
      </c>
      <c r="J23" s="44">
        <v>1432.4647769999999</v>
      </c>
    </row>
    <row r="24" spans="1:29" x14ac:dyDescent="0.2">
      <c r="C24" s="44" t="s">
        <v>102</v>
      </c>
      <c r="D24" s="44">
        <v>25958859</v>
      </c>
      <c r="E24" s="44">
        <v>1612481013</v>
      </c>
      <c r="F24" s="44">
        <v>4</v>
      </c>
      <c r="G24" s="44" t="s">
        <v>102</v>
      </c>
      <c r="H24" s="44">
        <v>4</v>
      </c>
      <c r="I24" s="65">
        <f t="shared" si="5"/>
        <v>1612.4810130000001</v>
      </c>
      <c r="J24" s="44">
        <v>1612.4810130000001</v>
      </c>
    </row>
    <row r="25" spans="1:29" x14ac:dyDescent="0.2">
      <c r="C25" s="44" t="s">
        <v>199</v>
      </c>
      <c r="D25" s="44">
        <v>9186459</v>
      </c>
      <c r="E25" s="44">
        <v>674351095</v>
      </c>
      <c r="F25" s="44">
        <v>5</v>
      </c>
      <c r="G25" s="44" t="s">
        <v>107</v>
      </c>
      <c r="H25" s="44">
        <v>1</v>
      </c>
      <c r="I25" s="65">
        <f t="shared" si="5"/>
        <v>674.35109499999999</v>
      </c>
      <c r="J25" s="44">
        <v>674.35109499999999</v>
      </c>
    </row>
    <row r="26" spans="1:29" x14ac:dyDescent="0.2">
      <c r="C26" s="44" t="s">
        <v>113</v>
      </c>
      <c r="D26" s="44">
        <v>11645584</v>
      </c>
      <c r="E26" s="44">
        <v>448467513</v>
      </c>
      <c r="F26" s="44">
        <v>6</v>
      </c>
      <c r="G26" s="44" t="s">
        <v>106</v>
      </c>
      <c r="H26" s="44">
        <v>15</v>
      </c>
      <c r="I26" s="65">
        <f t="shared" si="5"/>
        <v>448.467513</v>
      </c>
      <c r="J26" s="44">
        <v>448.467513</v>
      </c>
    </row>
    <row r="27" spans="1:29" x14ac:dyDescent="0.2">
      <c r="C27" s="44" t="s">
        <v>200</v>
      </c>
      <c r="D27" s="44">
        <v>10620604</v>
      </c>
      <c r="E27" s="44">
        <v>1806903469</v>
      </c>
      <c r="F27" s="44">
        <v>7</v>
      </c>
      <c r="G27" s="44" t="s">
        <v>99</v>
      </c>
      <c r="H27" s="44">
        <v>9</v>
      </c>
      <c r="I27" s="65">
        <f t="shared" si="5"/>
        <v>1806.9034690000001</v>
      </c>
      <c r="J27" s="44">
        <v>1806.9034690000001</v>
      </c>
    </row>
    <row r="28" spans="1:29" x14ac:dyDescent="0.2">
      <c r="C28" s="44" t="s">
        <v>114</v>
      </c>
      <c r="D28" s="44">
        <v>1970157</v>
      </c>
      <c r="E28" s="44">
        <v>76443893</v>
      </c>
      <c r="F28" s="44">
        <v>8</v>
      </c>
      <c r="G28" s="44" t="s">
        <v>111</v>
      </c>
      <c r="H28" s="44">
        <v>18</v>
      </c>
      <c r="I28" s="65">
        <f t="shared" si="5"/>
        <v>76.443893000000003</v>
      </c>
      <c r="J28" s="44">
        <v>76.443893000000003</v>
      </c>
    </row>
    <row r="29" spans="1:29" x14ac:dyDescent="0.2">
      <c r="C29" s="44" t="s">
        <v>99</v>
      </c>
      <c r="D29" s="44">
        <v>18941642</v>
      </c>
      <c r="E29" s="44">
        <v>1775517539</v>
      </c>
      <c r="F29" s="44">
        <v>9</v>
      </c>
      <c r="G29" s="44" t="s">
        <v>96</v>
      </c>
      <c r="H29" s="44">
        <v>19</v>
      </c>
      <c r="I29" s="65">
        <f t="shared" si="5"/>
        <v>1775.5175389999999</v>
      </c>
      <c r="J29" s="44">
        <v>1775.5175389999999</v>
      </c>
    </row>
    <row r="30" spans="1:29" x14ac:dyDescent="0.2">
      <c r="C30" s="44" t="s">
        <v>110</v>
      </c>
      <c r="D30" s="44">
        <v>6019929</v>
      </c>
      <c r="E30" s="44">
        <v>695039263</v>
      </c>
      <c r="F30" s="44">
        <v>10</v>
      </c>
      <c r="G30" s="44" t="s">
        <v>199</v>
      </c>
      <c r="H30" s="44">
        <v>5</v>
      </c>
      <c r="I30" s="65">
        <f t="shared" si="5"/>
        <v>695.03926300000001</v>
      </c>
      <c r="J30" s="44">
        <v>695.03926300000001</v>
      </c>
    </row>
    <row r="31" spans="1:29" x14ac:dyDescent="0.2">
      <c r="C31" s="44" t="s">
        <v>201</v>
      </c>
      <c r="D31" s="65">
        <v>8457041</v>
      </c>
      <c r="E31" s="65">
        <v>1032107538</v>
      </c>
      <c r="F31" s="65">
        <v>11</v>
      </c>
      <c r="G31" s="44" t="s">
        <v>113</v>
      </c>
      <c r="H31" s="44">
        <v>6</v>
      </c>
      <c r="I31" s="65">
        <f t="shared" si="5"/>
        <v>1032.107538</v>
      </c>
      <c r="J31" s="44">
        <v>1032.107538</v>
      </c>
    </row>
    <row r="32" spans="1:29" x14ac:dyDescent="0.2">
      <c r="C32" s="44" t="s">
        <v>97</v>
      </c>
      <c r="D32" s="44">
        <v>55457507</v>
      </c>
      <c r="E32" s="44">
        <v>6257594858</v>
      </c>
      <c r="F32" s="44">
        <v>12</v>
      </c>
      <c r="G32" s="44" t="s">
        <v>98</v>
      </c>
      <c r="H32" s="44">
        <v>7</v>
      </c>
      <c r="I32" s="65">
        <f t="shared" si="5"/>
        <v>6257.5948580000004</v>
      </c>
      <c r="J32" s="44">
        <v>6257.5948580000004</v>
      </c>
    </row>
    <row r="33" spans="3:10" x14ac:dyDescent="0.2">
      <c r="C33" s="44" t="s">
        <v>202</v>
      </c>
      <c r="D33" s="44">
        <v>56828517</v>
      </c>
      <c r="E33" s="44">
        <v>8631660390</v>
      </c>
      <c r="F33" s="44">
        <v>13</v>
      </c>
      <c r="G33" s="44" t="s">
        <v>114</v>
      </c>
      <c r="H33" s="44">
        <v>8</v>
      </c>
      <c r="I33" s="65">
        <f t="shared" si="5"/>
        <v>8631.6603899999991</v>
      </c>
      <c r="J33" s="44">
        <v>8631.6603899999991</v>
      </c>
    </row>
    <row r="34" spans="3:10" x14ac:dyDescent="0.2">
      <c r="C34" s="44" t="s">
        <v>105</v>
      </c>
      <c r="D34" s="44">
        <v>10773682</v>
      </c>
      <c r="E34" s="44">
        <v>1267090954</v>
      </c>
      <c r="F34" s="44">
        <v>14</v>
      </c>
      <c r="G34" s="44" t="s">
        <v>110</v>
      </c>
      <c r="H34" s="44">
        <v>10</v>
      </c>
      <c r="I34" s="65">
        <f t="shared" si="5"/>
        <v>1267.090954</v>
      </c>
      <c r="J34" s="44">
        <v>1267.090954</v>
      </c>
    </row>
    <row r="35" spans="3:10" x14ac:dyDescent="0.2">
      <c r="C35" s="44" t="s">
        <v>106</v>
      </c>
      <c r="D35" s="44">
        <v>3626197</v>
      </c>
      <c r="E35" s="44">
        <v>396368156</v>
      </c>
      <c r="F35" s="44">
        <v>15</v>
      </c>
      <c r="G35" s="44" t="s">
        <v>109</v>
      </c>
      <c r="H35" s="44">
        <v>21</v>
      </c>
      <c r="I35" s="65">
        <f t="shared" si="5"/>
        <v>396.368156</v>
      </c>
      <c r="J35" s="44">
        <v>396.368156</v>
      </c>
    </row>
    <row r="36" spans="3:10" x14ac:dyDescent="0.2">
      <c r="C36" s="44" t="s">
        <v>101</v>
      </c>
      <c r="D36" s="44">
        <v>45961110</v>
      </c>
      <c r="E36" s="44">
        <v>9161431147</v>
      </c>
      <c r="F36" s="44">
        <v>16</v>
      </c>
      <c r="G36" s="44" t="s">
        <v>104</v>
      </c>
      <c r="H36" s="44">
        <v>20</v>
      </c>
      <c r="I36" s="65">
        <f t="shared" si="5"/>
        <v>9161.4311469999993</v>
      </c>
      <c r="J36" s="44">
        <v>9161.4311469999993</v>
      </c>
    </row>
    <row r="37" spans="3:10" x14ac:dyDescent="0.2">
      <c r="C37" s="44" t="s">
        <v>108</v>
      </c>
      <c r="D37" s="44">
        <v>22509691</v>
      </c>
      <c r="E37" s="44">
        <v>1679349855</v>
      </c>
      <c r="F37" s="44">
        <v>17</v>
      </c>
      <c r="G37" s="44" t="s">
        <v>108</v>
      </c>
      <c r="H37" s="44">
        <v>17</v>
      </c>
      <c r="I37" s="65">
        <f t="shared" si="5"/>
        <v>1679.3498549999999</v>
      </c>
      <c r="J37" s="44">
        <v>1679.3498549999999</v>
      </c>
    </row>
    <row r="38" spans="3:10" x14ac:dyDescent="0.2">
      <c r="C38" s="44" t="s">
        <v>111</v>
      </c>
      <c r="D38" s="44">
        <v>15904562</v>
      </c>
      <c r="E38" s="44">
        <v>1290278005</v>
      </c>
      <c r="F38" s="44">
        <v>18</v>
      </c>
      <c r="G38" s="44" t="s">
        <v>112</v>
      </c>
      <c r="H38" s="44">
        <v>2</v>
      </c>
      <c r="I38" s="65">
        <f t="shared" si="5"/>
        <v>1290.2780049999999</v>
      </c>
      <c r="J38" s="44">
        <v>1290.2780049999999</v>
      </c>
    </row>
    <row r="39" spans="3:10" x14ac:dyDescent="0.2">
      <c r="C39" s="44" t="s">
        <v>96</v>
      </c>
      <c r="D39" s="44">
        <v>52813728</v>
      </c>
      <c r="E39" s="44">
        <v>8489745450</v>
      </c>
      <c r="F39" s="44">
        <v>19</v>
      </c>
      <c r="G39" s="44" t="s">
        <v>101</v>
      </c>
      <c r="H39" s="44">
        <v>16</v>
      </c>
      <c r="I39" s="65">
        <f t="shared" si="5"/>
        <v>8489.7454500000003</v>
      </c>
      <c r="J39" s="44">
        <v>8489.7454500000003</v>
      </c>
    </row>
    <row r="40" spans="3:10" x14ac:dyDescent="0.2">
      <c r="C40" s="44" t="s">
        <v>104</v>
      </c>
      <c r="D40" s="44">
        <v>1147322</v>
      </c>
      <c r="E40" s="44">
        <v>72456834</v>
      </c>
      <c r="F40" s="44">
        <v>20</v>
      </c>
      <c r="G40" s="44" t="s">
        <v>212</v>
      </c>
      <c r="H40" s="44">
        <v>14</v>
      </c>
      <c r="I40" s="65">
        <f t="shared" si="5"/>
        <v>72.456834000000001</v>
      </c>
      <c r="J40" s="44">
        <v>72.456834000000001</v>
      </c>
    </row>
    <row r="41" spans="3:10" x14ac:dyDescent="0.2">
      <c r="C41" s="44" t="s">
        <v>109</v>
      </c>
      <c r="D41" s="44">
        <v>852483</v>
      </c>
      <c r="E41" s="44">
        <v>144497484</v>
      </c>
      <c r="F41" s="44">
        <v>21</v>
      </c>
      <c r="G41" s="44" t="s">
        <v>95</v>
      </c>
      <c r="H41" s="44">
        <v>13</v>
      </c>
      <c r="I41" s="65">
        <f t="shared" si="5"/>
        <v>144.49748399999999</v>
      </c>
      <c r="J41" s="44">
        <v>144.49748399999999</v>
      </c>
    </row>
  </sheetData>
  <mergeCells count="16">
    <mergeCell ref="A6:B6"/>
    <mergeCell ref="A1:AA1"/>
    <mergeCell ref="A2:B2"/>
    <mergeCell ref="A3:B3"/>
    <mergeCell ref="A4:B4"/>
    <mergeCell ref="A5:B5"/>
    <mergeCell ref="A13:B13"/>
    <mergeCell ref="A14:B14"/>
    <mergeCell ref="A15:B15"/>
    <mergeCell ref="B16:F16"/>
    <mergeCell ref="A7:B7"/>
    <mergeCell ref="A8:B8"/>
    <mergeCell ref="A9:B9"/>
    <mergeCell ref="A10:B10"/>
    <mergeCell ref="A11:B11"/>
    <mergeCell ref="A12:B12"/>
  </mergeCells>
  <printOptions horizontalCentered="1" verticalCentered="1"/>
  <pageMargins left="0.59055118110236227" right="0.59055118110236227" top="0.98425196850393704" bottom="0.98425196850393704" header="0" footer="0"/>
  <pageSetup paperSize="9" scale="47" firstPageNumber="22" pageOrder="overThenDown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3"/>
  </sheetPr>
  <dimension ref="A1:J55"/>
  <sheetViews>
    <sheetView rightToLeft="1" zoomScale="90" zoomScaleNormal="90" workbookViewId="0">
      <selection activeCell="A32" sqref="A32"/>
    </sheetView>
  </sheetViews>
  <sheetFormatPr defaultColWidth="10.625" defaultRowHeight="15.75" x14ac:dyDescent="0.4"/>
  <cols>
    <col min="1" max="1" width="28.125" style="141" customWidth="1"/>
    <col min="2" max="2" width="24.5" style="141" customWidth="1"/>
    <col min="3" max="4" width="22.25" style="141" customWidth="1"/>
    <col min="5" max="5" width="23.125" style="141" customWidth="1"/>
    <col min="6" max="16384" width="10.625" style="141"/>
  </cols>
  <sheetData>
    <row r="1" spans="1:9" ht="24.75" thickBot="1" x14ac:dyDescent="0.65">
      <c r="A1" s="2863" t="s">
        <v>1862</v>
      </c>
      <c r="B1" s="2863"/>
      <c r="C1" s="2863"/>
      <c r="D1" s="2863"/>
      <c r="E1" s="2863"/>
    </row>
    <row r="2" spans="1:9" ht="42" customHeight="1" thickBot="1" x14ac:dyDescent="0.45">
      <c r="A2" s="818" t="s">
        <v>1086</v>
      </c>
      <c r="B2" s="819" t="s">
        <v>1087</v>
      </c>
      <c r="C2" s="820" t="s">
        <v>1088</v>
      </c>
      <c r="D2" s="821" t="s">
        <v>1081</v>
      </c>
      <c r="E2" s="822" t="s">
        <v>170</v>
      </c>
    </row>
    <row r="3" spans="1:9" ht="22.5" x14ac:dyDescent="0.4">
      <c r="A3" s="809" t="s">
        <v>107</v>
      </c>
      <c r="B3" s="823">
        <v>756874</v>
      </c>
      <c r="C3" s="824">
        <v>712011</v>
      </c>
      <c r="D3" s="825">
        <v>1625</v>
      </c>
      <c r="E3" s="826">
        <f>SUM(B3:D3)</f>
        <v>1470510</v>
      </c>
      <c r="I3" s="777"/>
    </row>
    <row r="4" spans="1:9" ht="22.5" x14ac:dyDescent="0.4">
      <c r="A4" s="813" t="s">
        <v>112</v>
      </c>
      <c r="B4" s="827">
        <v>122633</v>
      </c>
      <c r="C4" s="828">
        <v>171992</v>
      </c>
      <c r="D4" s="829"/>
      <c r="E4" s="830">
        <f t="shared" ref="E4:E23" si="0">SUM(B4:D4)</f>
        <v>294625</v>
      </c>
      <c r="I4" s="777"/>
    </row>
    <row r="5" spans="1:9" ht="22.5" x14ac:dyDescent="0.4">
      <c r="A5" s="813" t="s">
        <v>198</v>
      </c>
      <c r="B5" s="827">
        <v>449020</v>
      </c>
      <c r="C5" s="828"/>
      <c r="D5" s="829"/>
      <c r="E5" s="830">
        <f t="shared" si="0"/>
        <v>449020</v>
      </c>
      <c r="I5" s="777"/>
    </row>
    <row r="6" spans="1:9" ht="22.5" x14ac:dyDescent="0.4">
      <c r="A6" s="813" t="s">
        <v>102</v>
      </c>
      <c r="B6" s="827">
        <v>4580885</v>
      </c>
      <c r="C6" s="828">
        <v>5870557</v>
      </c>
      <c r="D6" s="829">
        <v>2708</v>
      </c>
      <c r="E6" s="830">
        <f t="shared" si="0"/>
        <v>10454150</v>
      </c>
      <c r="I6" s="777"/>
    </row>
    <row r="7" spans="1:9" ht="22.5" x14ac:dyDescent="0.4">
      <c r="A7" s="813" t="s">
        <v>199</v>
      </c>
      <c r="B7" s="827">
        <v>226176</v>
      </c>
      <c r="C7" s="828">
        <v>543911</v>
      </c>
      <c r="D7" s="829"/>
      <c r="E7" s="830">
        <f t="shared" si="0"/>
        <v>770087</v>
      </c>
      <c r="I7" s="777"/>
    </row>
    <row r="8" spans="1:9" ht="22.5" x14ac:dyDescent="0.4">
      <c r="A8" s="813" t="s">
        <v>113</v>
      </c>
      <c r="B8" s="827">
        <v>576872</v>
      </c>
      <c r="C8" s="828">
        <v>283292</v>
      </c>
      <c r="D8" s="829"/>
      <c r="E8" s="830">
        <f t="shared" si="0"/>
        <v>860164</v>
      </c>
      <c r="I8" s="777"/>
    </row>
    <row r="9" spans="1:9" ht="22.5" x14ac:dyDescent="0.4">
      <c r="A9" s="813" t="s">
        <v>589</v>
      </c>
      <c r="B9" s="827">
        <v>396634</v>
      </c>
      <c r="C9" s="828"/>
      <c r="D9" s="829"/>
      <c r="E9" s="830">
        <f t="shared" si="0"/>
        <v>396634</v>
      </c>
      <c r="I9" s="777"/>
    </row>
    <row r="10" spans="1:9" ht="22.5" x14ac:dyDescent="0.4">
      <c r="A10" s="813" t="s">
        <v>590</v>
      </c>
      <c r="B10" s="827">
        <v>106876</v>
      </c>
      <c r="C10" s="828">
        <v>202564</v>
      </c>
      <c r="D10" s="829"/>
      <c r="E10" s="830">
        <f t="shared" si="0"/>
        <v>309440</v>
      </c>
      <c r="I10" s="777"/>
    </row>
    <row r="11" spans="1:9" ht="22.5" x14ac:dyDescent="0.4">
      <c r="A11" s="813" t="s">
        <v>99</v>
      </c>
      <c r="B11" s="827">
        <v>7562663</v>
      </c>
      <c r="C11" s="828">
        <v>262062</v>
      </c>
      <c r="D11" s="829"/>
      <c r="E11" s="830">
        <f t="shared" si="0"/>
        <v>7824725</v>
      </c>
      <c r="I11" s="777"/>
    </row>
    <row r="12" spans="1:9" ht="22.5" x14ac:dyDescent="0.4">
      <c r="A12" s="813" t="s">
        <v>110</v>
      </c>
      <c r="B12" s="827">
        <v>811129</v>
      </c>
      <c r="C12" s="828">
        <v>60397</v>
      </c>
      <c r="D12" s="829"/>
      <c r="E12" s="830">
        <f t="shared" si="0"/>
        <v>871526</v>
      </c>
      <c r="I12" s="777"/>
    </row>
    <row r="13" spans="1:9" ht="22.5" x14ac:dyDescent="0.4">
      <c r="A13" s="813" t="s">
        <v>201</v>
      </c>
      <c r="B13" s="831">
        <v>712547</v>
      </c>
      <c r="C13" s="828">
        <v>426079</v>
      </c>
      <c r="D13" s="829">
        <v>411</v>
      </c>
      <c r="E13" s="830">
        <f t="shared" si="0"/>
        <v>1139037</v>
      </c>
      <c r="I13" s="777"/>
    </row>
    <row r="14" spans="1:9" ht="22.5" x14ac:dyDescent="0.4">
      <c r="A14" s="813" t="s">
        <v>97</v>
      </c>
      <c r="B14" s="831">
        <v>739754</v>
      </c>
      <c r="C14" s="828"/>
      <c r="D14" s="829"/>
      <c r="E14" s="830">
        <f t="shared" si="0"/>
        <v>739754</v>
      </c>
      <c r="I14" s="777"/>
    </row>
    <row r="15" spans="1:9" ht="22.5" x14ac:dyDescent="0.4">
      <c r="A15" s="813" t="s">
        <v>95</v>
      </c>
      <c r="B15" s="831">
        <v>493413</v>
      </c>
      <c r="C15" s="828"/>
      <c r="D15" s="829"/>
      <c r="E15" s="830">
        <f t="shared" si="0"/>
        <v>493413</v>
      </c>
      <c r="I15" s="777"/>
    </row>
    <row r="16" spans="1:9" ht="22.5" x14ac:dyDescent="0.4">
      <c r="A16" s="813" t="s">
        <v>105</v>
      </c>
      <c r="B16" s="831">
        <v>608114</v>
      </c>
      <c r="C16" s="828"/>
      <c r="D16" s="829"/>
      <c r="E16" s="830">
        <f t="shared" si="0"/>
        <v>608114</v>
      </c>
      <c r="I16" s="777"/>
    </row>
    <row r="17" spans="1:9" ht="22.5" x14ac:dyDescent="0.4">
      <c r="A17" s="813" t="s">
        <v>106</v>
      </c>
      <c r="B17" s="831">
        <v>155041</v>
      </c>
      <c r="C17" s="828">
        <v>57396</v>
      </c>
      <c r="D17" s="829"/>
      <c r="E17" s="830">
        <f t="shared" si="0"/>
        <v>212437</v>
      </c>
      <c r="I17" s="777"/>
    </row>
    <row r="18" spans="1:9" ht="22.5" x14ac:dyDescent="0.4">
      <c r="A18" s="813" t="s">
        <v>101</v>
      </c>
      <c r="B18" s="831">
        <v>481688</v>
      </c>
      <c r="C18" s="828"/>
      <c r="D18" s="829"/>
      <c r="E18" s="830">
        <f t="shared" si="0"/>
        <v>481688</v>
      </c>
      <c r="I18" s="777"/>
    </row>
    <row r="19" spans="1:9" ht="22.5" x14ac:dyDescent="0.4">
      <c r="A19" s="813" t="s">
        <v>96</v>
      </c>
      <c r="B19" s="831">
        <v>191487</v>
      </c>
      <c r="C19" s="828"/>
      <c r="D19" s="829"/>
      <c r="E19" s="830">
        <f t="shared" si="0"/>
        <v>191487</v>
      </c>
      <c r="I19" s="777"/>
    </row>
    <row r="20" spans="1:9" ht="22.5" x14ac:dyDescent="0.4">
      <c r="A20" s="813" t="s">
        <v>104</v>
      </c>
      <c r="B20" s="827">
        <v>245292</v>
      </c>
      <c r="C20" s="828"/>
      <c r="D20" s="829"/>
      <c r="E20" s="830">
        <f t="shared" si="0"/>
        <v>245292</v>
      </c>
      <c r="I20" s="777"/>
    </row>
    <row r="21" spans="1:9" ht="22.5" x14ac:dyDescent="0.4">
      <c r="A21" s="813" t="s">
        <v>108</v>
      </c>
      <c r="B21" s="827">
        <v>1075800</v>
      </c>
      <c r="C21" s="828">
        <v>574448</v>
      </c>
      <c r="D21" s="829"/>
      <c r="E21" s="830">
        <f t="shared" si="0"/>
        <v>1650248</v>
      </c>
      <c r="I21" s="777"/>
    </row>
    <row r="22" spans="1:9" ht="22.5" x14ac:dyDescent="0.4">
      <c r="A22" s="813" t="s">
        <v>109</v>
      </c>
      <c r="B22" s="827">
        <v>289529</v>
      </c>
      <c r="C22" s="828"/>
      <c r="D22" s="829"/>
      <c r="E22" s="830">
        <f t="shared" si="0"/>
        <v>289529</v>
      </c>
      <c r="I22" s="777"/>
    </row>
    <row r="23" spans="1:9" ht="23.25" thickBot="1" x14ac:dyDescent="0.45">
      <c r="A23" s="814" t="s">
        <v>1051</v>
      </c>
      <c r="B23" s="832">
        <v>57913</v>
      </c>
      <c r="C23" s="833">
        <v>331191</v>
      </c>
      <c r="D23" s="834"/>
      <c r="E23" s="835">
        <f t="shared" si="0"/>
        <v>389104</v>
      </c>
      <c r="I23" s="777"/>
    </row>
    <row r="24" spans="1:9" ht="23.25" thickBot="1" x14ac:dyDescent="0.45">
      <c r="A24" s="822" t="s">
        <v>170</v>
      </c>
      <c r="B24" s="836">
        <f>SUM(B3:B23)</f>
        <v>20640340</v>
      </c>
      <c r="C24" s="837">
        <f t="shared" ref="C24:D24" si="1">SUM(C3:C23)</f>
        <v>9495900</v>
      </c>
      <c r="D24" s="838">
        <f t="shared" si="1"/>
        <v>4744</v>
      </c>
      <c r="E24" s="839">
        <f>SUM(E3:E23)</f>
        <v>30140984</v>
      </c>
    </row>
    <row r="25" spans="1:9" ht="24" x14ac:dyDescent="0.4">
      <c r="A25" s="2846" t="s">
        <v>1085</v>
      </c>
      <c r="B25" s="2846"/>
      <c r="C25" s="2846"/>
      <c r="D25" s="840"/>
      <c r="E25" s="841"/>
    </row>
    <row r="26" spans="1:9" ht="9.75" customHeight="1" x14ac:dyDescent="0.4"/>
    <row r="27" spans="1:9" ht="9.75" customHeight="1" x14ac:dyDescent="0.4"/>
    <row r="28" spans="1:9" ht="9.75" customHeight="1" x14ac:dyDescent="0.4"/>
    <row r="29" spans="1:9" ht="9.75" customHeight="1" x14ac:dyDescent="0.4"/>
    <row r="30" spans="1:9" ht="9.75" customHeight="1" x14ac:dyDescent="0.4"/>
    <row r="31" spans="1:9" ht="22.5" thickBot="1" x14ac:dyDescent="0.6">
      <c r="A31" s="2864" t="s">
        <v>1863</v>
      </c>
      <c r="B31" s="2864"/>
      <c r="C31" s="2864"/>
      <c r="D31" s="2864"/>
      <c r="E31" s="2864"/>
    </row>
    <row r="32" spans="1:9" ht="42" customHeight="1" thickBot="1" x14ac:dyDescent="0.45">
      <c r="A32" s="818" t="s">
        <v>1086</v>
      </c>
      <c r="B32" s="842" t="s">
        <v>1087</v>
      </c>
      <c r="C32" s="818" t="s">
        <v>1088</v>
      </c>
      <c r="D32" s="843" t="s">
        <v>1081</v>
      </c>
      <c r="E32" s="844" t="s">
        <v>170</v>
      </c>
    </row>
    <row r="33" spans="1:10" ht="22.5" x14ac:dyDescent="0.4">
      <c r="A33" s="813" t="s">
        <v>107</v>
      </c>
      <c r="B33" s="845">
        <v>616790.57210745709</v>
      </c>
      <c r="C33" s="826">
        <v>60788.661999999997</v>
      </c>
      <c r="D33" s="846">
        <v>2437.5</v>
      </c>
      <c r="E33" s="846">
        <f>SUM(B33:D33)</f>
        <v>680016.7341074571</v>
      </c>
      <c r="H33" s="777"/>
      <c r="J33" s="777"/>
    </row>
    <row r="34" spans="1:10" ht="22.5" x14ac:dyDescent="0.4">
      <c r="A34" s="813" t="s">
        <v>112</v>
      </c>
      <c r="B34" s="845">
        <v>50685.939813299614</v>
      </c>
      <c r="C34" s="826">
        <v>18470.939999999999</v>
      </c>
      <c r="D34" s="846"/>
      <c r="E34" s="846">
        <f t="shared" ref="E34:E53" si="2">SUM(B34:D34)</f>
        <v>69156.879813299616</v>
      </c>
      <c r="H34" s="777"/>
      <c r="J34" s="777"/>
    </row>
    <row r="35" spans="1:10" ht="22.5" x14ac:dyDescent="0.4">
      <c r="A35" s="813" t="s">
        <v>198</v>
      </c>
      <c r="B35" s="845">
        <v>292303.55959257705</v>
      </c>
      <c r="C35" s="826">
        <v>0</v>
      </c>
      <c r="D35" s="846"/>
      <c r="E35" s="846">
        <f t="shared" si="2"/>
        <v>292303.55959257705</v>
      </c>
      <c r="H35" s="777"/>
      <c r="J35" s="777"/>
    </row>
    <row r="36" spans="1:10" ht="22.5" x14ac:dyDescent="0.4">
      <c r="A36" s="813" t="s">
        <v>102</v>
      </c>
      <c r="B36" s="845">
        <v>3615284.0854320545</v>
      </c>
      <c r="C36" s="826">
        <v>459565.99200000003</v>
      </c>
      <c r="D36" s="846">
        <v>3722.9920000000002</v>
      </c>
      <c r="E36" s="846">
        <f t="shared" si="2"/>
        <v>4078573.0694320546</v>
      </c>
      <c r="H36" s="777"/>
      <c r="J36" s="777"/>
    </row>
    <row r="37" spans="1:10" ht="22.5" x14ac:dyDescent="0.4">
      <c r="A37" s="813" t="s">
        <v>199</v>
      </c>
      <c r="B37" s="845">
        <v>102311.378</v>
      </c>
      <c r="C37" s="826">
        <v>72730.043999999994</v>
      </c>
      <c r="D37" s="846"/>
      <c r="E37" s="846">
        <f t="shared" si="2"/>
        <v>175041.42199999999</v>
      </c>
      <c r="H37" s="777"/>
      <c r="J37" s="777"/>
    </row>
    <row r="38" spans="1:10" ht="22.5" x14ac:dyDescent="0.4">
      <c r="A38" s="813" t="s">
        <v>113</v>
      </c>
      <c r="B38" s="845">
        <v>264609.88937212934</v>
      </c>
      <c r="C38" s="826">
        <v>37650.271999999997</v>
      </c>
      <c r="D38" s="846"/>
      <c r="E38" s="846">
        <f t="shared" si="2"/>
        <v>302260.16137212934</v>
      </c>
      <c r="H38" s="777"/>
      <c r="J38" s="777"/>
    </row>
    <row r="39" spans="1:10" ht="22.5" x14ac:dyDescent="0.4">
      <c r="A39" s="813" t="s">
        <v>589</v>
      </c>
      <c r="B39" s="845">
        <v>176294.48203199811</v>
      </c>
      <c r="C39" s="826">
        <v>0</v>
      </c>
      <c r="D39" s="846"/>
      <c r="E39" s="846">
        <f t="shared" si="2"/>
        <v>176294.48203199811</v>
      </c>
      <c r="H39" s="777"/>
      <c r="J39" s="777"/>
    </row>
    <row r="40" spans="1:10" ht="22.5" x14ac:dyDescent="0.4">
      <c r="A40" s="813" t="s">
        <v>590</v>
      </c>
      <c r="B40" s="845">
        <v>52733.196000000004</v>
      </c>
      <c r="C40" s="826">
        <v>11343.584000000001</v>
      </c>
      <c r="D40" s="846"/>
      <c r="E40" s="846">
        <f t="shared" si="2"/>
        <v>64076.780000000006</v>
      </c>
      <c r="H40" s="777"/>
      <c r="J40" s="777"/>
    </row>
    <row r="41" spans="1:10" ht="22.5" x14ac:dyDescent="0.4">
      <c r="A41" s="813" t="s">
        <v>99</v>
      </c>
      <c r="B41" s="845">
        <v>5322368.1678648423</v>
      </c>
      <c r="C41" s="826">
        <v>47957.345999999998</v>
      </c>
      <c r="D41" s="846"/>
      <c r="E41" s="846">
        <f t="shared" si="2"/>
        <v>5370325.5138648422</v>
      </c>
      <c r="H41" s="777"/>
      <c r="J41" s="777"/>
    </row>
    <row r="42" spans="1:10" ht="22.5" x14ac:dyDescent="0.4">
      <c r="A42" s="813" t="s">
        <v>110</v>
      </c>
      <c r="B42" s="845">
        <v>369149.25647811516</v>
      </c>
      <c r="C42" s="826">
        <v>8576.3739999999998</v>
      </c>
      <c r="D42" s="846"/>
      <c r="E42" s="846">
        <f t="shared" si="2"/>
        <v>377725.63047811517</v>
      </c>
      <c r="H42" s="777"/>
      <c r="J42" s="777"/>
    </row>
    <row r="43" spans="1:10" ht="22.5" x14ac:dyDescent="0.4">
      <c r="A43" s="813" t="s">
        <v>201</v>
      </c>
      <c r="B43" s="845">
        <v>530428.89800000004</v>
      </c>
      <c r="C43" s="826">
        <v>32249.348999999998</v>
      </c>
      <c r="D43" s="846">
        <v>394.06</v>
      </c>
      <c r="E43" s="846">
        <f t="shared" si="2"/>
        <v>563072.30700000015</v>
      </c>
      <c r="H43" s="777"/>
      <c r="J43" s="777"/>
    </row>
    <row r="44" spans="1:10" ht="22.5" x14ac:dyDescent="0.4">
      <c r="A44" s="813" t="s">
        <v>97</v>
      </c>
      <c r="B44" s="845">
        <v>537402.32304320554</v>
      </c>
      <c r="C44" s="826">
        <v>0</v>
      </c>
      <c r="D44" s="846"/>
      <c r="E44" s="846">
        <f t="shared" si="2"/>
        <v>537402.32304320554</v>
      </c>
      <c r="H44" s="777"/>
      <c r="J44" s="777"/>
    </row>
    <row r="45" spans="1:10" ht="22.5" x14ac:dyDescent="0.4">
      <c r="A45" s="813" t="s">
        <v>95</v>
      </c>
      <c r="B45" s="845">
        <v>262697.22167954827</v>
      </c>
      <c r="C45" s="826">
        <v>0</v>
      </c>
      <c r="D45" s="846"/>
      <c r="E45" s="846">
        <f t="shared" si="2"/>
        <v>262697.22167954827</v>
      </c>
      <c r="H45" s="777"/>
      <c r="J45" s="777"/>
    </row>
    <row r="46" spans="1:10" ht="22.5" x14ac:dyDescent="0.4">
      <c r="A46" s="813" t="s">
        <v>105</v>
      </c>
      <c r="B46" s="845">
        <v>413259.61532163282</v>
      </c>
      <c r="C46" s="826">
        <v>0</v>
      </c>
      <c r="D46" s="846"/>
      <c r="E46" s="846">
        <f t="shared" si="2"/>
        <v>413259.61532163282</v>
      </c>
      <c r="H46" s="777"/>
      <c r="J46" s="777"/>
    </row>
    <row r="47" spans="1:10" ht="22.5" x14ac:dyDescent="0.4">
      <c r="A47" s="813" t="s">
        <v>106</v>
      </c>
      <c r="B47" s="845">
        <v>216068.995</v>
      </c>
      <c r="C47" s="826">
        <v>6370.9560000000001</v>
      </c>
      <c r="D47" s="846"/>
      <c r="E47" s="846">
        <f t="shared" si="2"/>
        <v>222439.951</v>
      </c>
      <c r="H47" s="777"/>
      <c r="J47" s="777"/>
    </row>
    <row r="48" spans="1:10" ht="22.5" x14ac:dyDescent="0.4">
      <c r="A48" s="813" t="s">
        <v>101</v>
      </c>
      <c r="B48" s="845">
        <v>510202.98874786281</v>
      </c>
      <c r="C48" s="826">
        <v>0</v>
      </c>
      <c r="D48" s="846"/>
      <c r="E48" s="846">
        <f t="shared" si="2"/>
        <v>510202.98874786281</v>
      </c>
      <c r="H48" s="777"/>
      <c r="J48" s="777"/>
    </row>
    <row r="49" spans="1:10" ht="22.5" x14ac:dyDescent="0.4">
      <c r="A49" s="813" t="s">
        <v>96</v>
      </c>
      <c r="B49" s="845">
        <v>98339.732737034617</v>
      </c>
      <c r="C49" s="826">
        <v>0</v>
      </c>
      <c r="D49" s="846"/>
      <c r="E49" s="846">
        <f t="shared" si="2"/>
        <v>98339.732737034617</v>
      </c>
      <c r="H49" s="777"/>
      <c r="J49" s="777"/>
    </row>
    <row r="50" spans="1:10" ht="22.5" x14ac:dyDescent="0.4">
      <c r="A50" s="813" t="s">
        <v>104</v>
      </c>
      <c r="B50" s="845">
        <v>223068.66755948591</v>
      </c>
      <c r="C50" s="826">
        <v>0</v>
      </c>
      <c r="D50" s="846"/>
      <c r="E50" s="846">
        <f t="shared" si="2"/>
        <v>223068.66755948591</v>
      </c>
      <c r="H50" s="777"/>
      <c r="J50" s="777"/>
    </row>
    <row r="51" spans="1:10" ht="22.5" x14ac:dyDescent="0.4">
      <c r="A51" s="813" t="s">
        <v>108</v>
      </c>
      <c r="B51" s="845">
        <v>591314.19196385576</v>
      </c>
      <c r="C51" s="826">
        <v>103111.95299999999</v>
      </c>
      <c r="D51" s="846"/>
      <c r="E51" s="846">
        <f t="shared" si="2"/>
        <v>694426.14496385574</v>
      </c>
      <c r="H51" s="777"/>
      <c r="J51" s="777"/>
    </row>
    <row r="52" spans="1:10" ht="22.5" x14ac:dyDescent="0.4">
      <c r="A52" s="814" t="s">
        <v>109</v>
      </c>
      <c r="B52" s="847">
        <v>169006.05300000001</v>
      </c>
      <c r="C52" s="848">
        <v>0</v>
      </c>
      <c r="D52" s="849"/>
      <c r="E52" s="849">
        <f t="shared" si="2"/>
        <v>169006.05300000001</v>
      </c>
      <c r="H52" s="777"/>
      <c r="J52" s="777"/>
    </row>
    <row r="53" spans="1:10" ht="23.25" thickBot="1" x14ac:dyDescent="0.45">
      <c r="A53" s="850" t="s">
        <v>1051</v>
      </c>
      <c r="B53" s="851">
        <v>43072.244254883357</v>
      </c>
      <c r="C53" s="851">
        <v>35758.813000000002</v>
      </c>
      <c r="D53" s="851"/>
      <c r="E53" s="851">
        <f t="shared" si="2"/>
        <v>78831.057254883359</v>
      </c>
      <c r="H53" s="777"/>
      <c r="J53" s="777"/>
    </row>
    <row r="54" spans="1:10" ht="23.25" thickBot="1" x14ac:dyDescent="0.45">
      <c r="A54" s="852" t="s">
        <v>170</v>
      </c>
      <c r="B54" s="853">
        <f>SUM(B33:B53)</f>
        <v>14457391.457999978</v>
      </c>
      <c r="C54" s="853">
        <f t="shared" ref="C54:E54" si="3">SUM(C33:C53)</f>
        <v>894574.28500000003</v>
      </c>
      <c r="D54" s="853">
        <f t="shared" si="3"/>
        <v>6554.5520000000006</v>
      </c>
      <c r="E54" s="839">
        <f t="shared" si="3"/>
        <v>15358520.294999979</v>
      </c>
    </row>
    <row r="55" spans="1:10" ht="24" x14ac:dyDescent="0.4">
      <c r="A55" s="2851" t="s">
        <v>1085</v>
      </c>
      <c r="B55" s="2851"/>
      <c r="C55" s="2851"/>
      <c r="D55" s="840"/>
      <c r="E55" s="841"/>
    </row>
  </sheetData>
  <mergeCells count="4">
    <mergeCell ref="A1:E1"/>
    <mergeCell ref="A25:C25"/>
    <mergeCell ref="A31:E31"/>
    <mergeCell ref="A55:C55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65" fitToHeight="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W34"/>
  <sheetViews>
    <sheetView rightToLeft="1" topLeftCell="A2" workbookViewId="0">
      <selection activeCell="A20" sqref="A20"/>
    </sheetView>
  </sheetViews>
  <sheetFormatPr defaultColWidth="10.375" defaultRowHeight="14.25" x14ac:dyDescent="0.2"/>
  <cols>
    <col min="1" max="1" width="10.75" style="855" customWidth="1"/>
    <col min="2" max="2" width="14.625" style="855" customWidth="1"/>
    <col min="3" max="3" width="14.25" style="855" customWidth="1"/>
    <col min="4" max="4" width="13.5" style="855" customWidth="1"/>
    <col min="5" max="5" width="14.875" style="855" customWidth="1"/>
    <col min="6" max="6" width="13.125" style="855" customWidth="1"/>
    <col min="7" max="7" width="15.25" style="855" customWidth="1"/>
    <col min="8" max="8" width="12.875" style="855" customWidth="1"/>
    <col min="9" max="9" width="15.875" style="855" bestFit="1" customWidth="1"/>
    <col min="10" max="10" width="17.375" style="855" bestFit="1" customWidth="1"/>
    <col min="11" max="11" width="19" style="855" customWidth="1"/>
    <col min="12" max="16384" width="10.375" style="855"/>
  </cols>
  <sheetData>
    <row r="1" spans="1:11" ht="18.75" x14ac:dyDescent="0.2">
      <c r="A1" s="854"/>
    </row>
    <row r="2" spans="1:11" s="856" customFormat="1" ht="24.75" thickBot="1" x14ac:dyDescent="0.25">
      <c r="A2" s="2865" t="s">
        <v>1864</v>
      </c>
      <c r="B2" s="2865"/>
      <c r="C2" s="2865"/>
      <c r="D2" s="2865"/>
      <c r="E2" s="2865"/>
      <c r="F2" s="2865"/>
      <c r="G2" s="2865"/>
      <c r="H2" s="2865"/>
      <c r="I2" s="2865"/>
      <c r="J2" s="2865"/>
      <c r="K2" s="2865"/>
    </row>
    <row r="3" spans="1:11" ht="43.5" thickTop="1" thickBot="1" x14ac:dyDescent="0.25">
      <c r="A3" s="857" t="s">
        <v>1089</v>
      </c>
      <c r="B3" s="858" t="s">
        <v>201</v>
      </c>
      <c r="C3" s="859" t="s">
        <v>99</v>
      </c>
      <c r="D3" s="860" t="s">
        <v>1090</v>
      </c>
      <c r="E3" s="859" t="s">
        <v>96</v>
      </c>
      <c r="F3" s="860" t="s">
        <v>1091</v>
      </c>
      <c r="G3" s="860" t="s">
        <v>1092</v>
      </c>
      <c r="H3" s="859" t="s">
        <v>113</v>
      </c>
      <c r="I3" s="859" t="s">
        <v>1093</v>
      </c>
      <c r="J3" s="861" t="s">
        <v>1094</v>
      </c>
      <c r="K3" s="862" t="s">
        <v>170</v>
      </c>
    </row>
    <row r="4" spans="1:11" ht="26.25" customHeight="1" thickTop="1" x14ac:dyDescent="0.2">
      <c r="A4" s="863" t="s">
        <v>1095</v>
      </c>
      <c r="B4" s="864">
        <v>289800</v>
      </c>
      <c r="C4" s="864">
        <v>697644</v>
      </c>
      <c r="D4" s="864">
        <v>273692</v>
      </c>
      <c r="E4" s="864">
        <v>124446</v>
      </c>
      <c r="F4" s="864">
        <v>53514</v>
      </c>
      <c r="G4" s="864">
        <v>282952</v>
      </c>
      <c r="H4" s="864">
        <v>54826</v>
      </c>
      <c r="I4" s="864">
        <v>983260</v>
      </c>
      <c r="J4" s="865">
        <v>6120</v>
      </c>
      <c r="K4" s="866">
        <f t="shared" ref="K4:K15" si="0">SUM(B4:J4)</f>
        <v>2766254</v>
      </c>
    </row>
    <row r="5" spans="1:11" ht="26.25" customHeight="1" x14ac:dyDescent="0.2">
      <c r="A5" s="867" t="s">
        <v>1096</v>
      </c>
      <c r="B5" s="864">
        <v>295342</v>
      </c>
      <c r="C5" s="864">
        <v>760586</v>
      </c>
      <c r="D5" s="864">
        <v>275104</v>
      </c>
      <c r="E5" s="864">
        <v>133800</v>
      </c>
      <c r="F5" s="864">
        <v>43928</v>
      </c>
      <c r="G5" s="864">
        <v>273598</v>
      </c>
      <c r="H5" s="864">
        <v>55980</v>
      </c>
      <c r="I5" s="864">
        <v>1148454</v>
      </c>
      <c r="J5" s="865">
        <v>6480</v>
      </c>
      <c r="K5" s="868">
        <f t="shared" si="0"/>
        <v>2993272</v>
      </c>
    </row>
    <row r="6" spans="1:11" ht="26.25" customHeight="1" x14ac:dyDescent="0.2">
      <c r="A6" s="867" t="s">
        <v>160</v>
      </c>
      <c r="B6" s="864">
        <v>291492</v>
      </c>
      <c r="C6" s="864">
        <v>734718</v>
      </c>
      <c r="D6" s="864">
        <v>269784</v>
      </c>
      <c r="E6" s="864">
        <v>133880</v>
      </c>
      <c r="F6" s="864">
        <v>44136</v>
      </c>
      <c r="G6" s="864">
        <v>282414</v>
      </c>
      <c r="H6" s="864">
        <v>58016</v>
      </c>
      <c r="I6" s="864">
        <v>1095894</v>
      </c>
      <c r="J6" s="865">
        <v>0</v>
      </c>
      <c r="K6" s="868">
        <f t="shared" si="0"/>
        <v>2910334</v>
      </c>
    </row>
    <row r="7" spans="1:11" ht="26.25" customHeight="1" x14ac:dyDescent="0.2">
      <c r="A7" s="867" t="s">
        <v>1097</v>
      </c>
      <c r="B7" s="864">
        <v>307580</v>
      </c>
      <c r="C7" s="864">
        <v>729600</v>
      </c>
      <c r="D7" s="864">
        <v>270948</v>
      </c>
      <c r="E7" s="864">
        <v>135250</v>
      </c>
      <c r="F7" s="864">
        <v>44848</v>
      </c>
      <c r="G7" s="864">
        <v>271502</v>
      </c>
      <c r="H7" s="864">
        <v>56186</v>
      </c>
      <c r="I7" s="864">
        <v>1061036</v>
      </c>
      <c r="J7" s="865"/>
      <c r="K7" s="868">
        <f t="shared" si="0"/>
        <v>2876950</v>
      </c>
    </row>
    <row r="8" spans="1:11" ht="26.25" customHeight="1" x14ac:dyDescent="0.2">
      <c r="A8" s="867" t="s">
        <v>162</v>
      </c>
      <c r="B8" s="864">
        <v>289860</v>
      </c>
      <c r="C8" s="864">
        <v>717542</v>
      </c>
      <c r="D8" s="864">
        <v>281592</v>
      </c>
      <c r="E8" s="864">
        <v>141362</v>
      </c>
      <c r="F8" s="864">
        <v>46180</v>
      </c>
      <c r="G8" s="864">
        <v>240194</v>
      </c>
      <c r="H8" s="864">
        <v>50906</v>
      </c>
      <c r="I8" s="864">
        <v>1165276</v>
      </c>
      <c r="J8" s="865">
        <v>2057</v>
      </c>
      <c r="K8" s="868">
        <f t="shared" si="0"/>
        <v>2934969</v>
      </c>
    </row>
    <row r="9" spans="1:11" ht="26.25" customHeight="1" x14ac:dyDescent="0.2">
      <c r="A9" s="867" t="s">
        <v>1098</v>
      </c>
      <c r="B9" s="864">
        <v>299510</v>
      </c>
      <c r="C9" s="864">
        <v>751584</v>
      </c>
      <c r="D9" s="864">
        <v>280808</v>
      </c>
      <c r="E9" s="864">
        <v>139860</v>
      </c>
      <c r="F9" s="864">
        <v>48202</v>
      </c>
      <c r="G9" s="864">
        <v>234974</v>
      </c>
      <c r="H9" s="864">
        <v>50196</v>
      </c>
      <c r="I9" s="864">
        <v>1084168</v>
      </c>
      <c r="J9" s="865">
        <v>3143</v>
      </c>
      <c r="K9" s="868">
        <f t="shared" si="0"/>
        <v>2892445</v>
      </c>
    </row>
    <row r="10" spans="1:11" ht="26.25" customHeight="1" x14ac:dyDescent="0.2">
      <c r="A10" s="867" t="s">
        <v>164</v>
      </c>
      <c r="B10" s="864">
        <v>289606</v>
      </c>
      <c r="C10" s="864">
        <v>734234</v>
      </c>
      <c r="D10" s="864">
        <v>258528</v>
      </c>
      <c r="E10" s="864">
        <v>134814</v>
      </c>
      <c r="F10" s="864">
        <v>42996</v>
      </c>
      <c r="G10" s="864">
        <v>235464</v>
      </c>
      <c r="H10" s="864">
        <v>54364</v>
      </c>
      <c r="I10" s="864">
        <v>1107098</v>
      </c>
      <c r="J10" s="865">
        <v>0</v>
      </c>
      <c r="K10" s="868">
        <f t="shared" si="0"/>
        <v>2857104</v>
      </c>
    </row>
    <row r="11" spans="1:11" ht="26.25" customHeight="1" x14ac:dyDescent="0.2">
      <c r="A11" s="867" t="s">
        <v>520</v>
      </c>
      <c r="B11" s="864">
        <v>293848</v>
      </c>
      <c r="C11" s="864">
        <v>713066</v>
      </c>
      <c r="D11" s="864">
        <v>258820</v>
      </c>
      <c r="E11" s="864">
        <v>126944</v>
      </c>
      <c r="F11" s="864">
        <v>42242</v>
      </c>
      <c r="G11" s="864">
        <v>243300</v>
      </c>
      <c r="H11" s="864">
        <v>55684</v>
      </c>
      <c r="I11" s="864">
        <v>1100672</v>
      </c>
      <c r="J11" s="865">
        <v>0</v>
      </c>
      <c r="K11" s="868">
        <f t="shared" si="0"/>
        <v>2834576</v>
      </c>
    </row>
    <row r="12" spans="1:11" ht="26.25" customHeight="1" x14ac:dyDescent="0.2">
      <c r="A12" s="867" t="s">
        <v>166</v>
      </c>
      <c r="B12" s="864">
        <v>287980</v>
      </c>
      <c r="C12" s="864">
        <v>698982</v>
      </c>
      <c r="D12" s="864">
        <v>252472</v>
      </c>
      <c r="E12" s="864">
        <v>121062</v>
      </c>
      <c r="F12" s="864">
        <v>44576</v>
      </c>
      <c r="G12" s="864">
        <v>239768</v>
      </c>
      <c r="H12" s="864">
        <v>55174</v>
      </c>
      <c r="I12" s="864">
        <v>1062809</v>
      </c>
      <c r="J12" s="865">
        <v>0</v>
      </c>
      <c r="K12" s="868">
        <f t="shared" si="0"/>
        <v>2762823</v>
      </c>
    </row>
    <row r="13" spans="1:11" ht="26.25" customHeight="1" x14ac:dyDescent="0.2">
      <c r="A13" s="867" t="s">
        <v>1099</v>
      </c>
      <c r="B13" s="864">
        <v>265606</v>
      </c>
      <c r="C13" s="864">
        <v>658600</v>
      </c>
      <c r="D13" s="864">
        <v>243116</v>
      </c>
      <c r="E13" s="864">
        <v>115252</v>
      </c>
      <c r="F13" s="864">
        <v>40246</v>
      </c>
      <c r="G13" s="864">
        <v>237864</v>
      </c>
      <c r="H13" s="864">
        <v>49586</v>
      </c>
      <c r="I13" s="864">
        <v>1074756</v>
      </c>
      <c r="J13" s="865">
        <v>0</v>
      </c>
      <c r="K13" s="868">
        <f t="shared" si="0"/>
        <v>2685026</v>
      </c>
    </row>
    <row r="14" spans="1:11" ht="26.25" customHeight="1" x14ac:dyDescent="0.2">
      <c r="A14" s="867" t="s">
        <v>168</v>
      </c>
      <c r="B14" s="864">
        <v>293248</v>
      </c>
      <c r="C14" s="864">
        <v>720874</v>
      </c>
      <c r="D14" s="864">
        <v>254916</v>
      </c>
      <c r="E14" s="864">
        <v>125744</v>
      </c>
      <c r="F14" s="864">
        <v>50288</v>
      </c>
      <c r="G14" s="864">
        <v>257724</v>
      </c>
      <c r="H14" s="864">
        <v>50294</v>
      </c>
      <c r="I14" s="864">
        <v>1057186</v>
      </c>
      <c r="J14" s="865">
        <v>0</v>
      </c>
      <c r="K14" s="868">
        <f t="shared" si="0"/>
        <v>2810274</v>
      </c>
    </row>
    <row r="15" spans="1:11" ht="26.25" customHeight="1" thickBot="1" x14ac:dyDescent="0.25">
      <c r="A15" s="869" t="s">
        <v>169</v>
      </c>
      <c r="B15" s="870">
        <v>288874</v>
      </c>
      <c r="C15" s="870">
        <v>587120</v>
      </c>
      <c r="D15" s="870">
        <v>238648</v>
      </c>
      <c r="E15" s="870">
        <v>122442</v>
      </c>
      <c r="F15" s="870">
        <v>40676</v>
      </c>
      <c r="G15" s="870">
        <v>232848</v>
      </c>
      <c r="H15" s="870">
        <v>42730</v>
      </c>
      <c r="I15" s="870">
        <v>1050832</v>
      </c>
      <c r="J15" s="871">
        <v>1960</v>
      </c>
      <c r="K15" s="872">
        <f t="shared" si="0"/>
        <v>2606130</v>
      </c>
    </row>
    <row r="16" spans="1:11" ht="32.25" customHeight="1" thickTop="1" thickBot="1" x14ac:dyDescent="0.25">
      <c r="A16" s="862" t="s">
        <v>170</v>
      </c>
      <c r="B16" s="858">
        <f>SUM(B4:B15)</f>
        <v>3492746</v>
      </c>
      <c r="C16" s="859">
        <f t="shared" ref="C16:K16" si="1">SUM(C4:C15)</f>
        <v>8504550</v>
      </c>
      <c r="D16" s="859">
        <f t="shared" si="1"/>
        <v>3158428</v>
      </c>
      <c r="E16" s="859">
        <f t="shared" si="1"/>
        <v>1554856</v>
      </c>
      <c r="F16" s="859">
        <f t="shared" si="1"/>
        <v>541832</v>
      </c>
      <c r="G16" s="859">
        <f t="shared" si="1"/>
        <v>3032602</v>
      </c>
      <c r="H16" s="859">
        <f t="shared" si="1"/>
        <v>633942</v>
      </c>
      <c r="I16" s="859">
        <f t="shared" si="1"/>
        <v>12991441</v>
      </c>
      <c r="J16" s="861">
        <f t="shared" si="1"/>
        <v>19760</v>
      </c>
      <c r="K16" s="862">
        <f t="shared" si="1"/>
        <v>33930157</v>
      </c>
    </row>
    <row r="17" spans="1:11" ht="25.5" customHeight="1" thickTop="1" x14ac:dyDescent="0.2"/>
    <row r="18" spans="1:11" ht="18.75" x14ac:dyDescent="0.2">
      <c r="A18" s="854"/>
    </row>
    <row r="19" spans="1:11" s="856" customFormat="1" ht="39" customHeight="1" thickBot="1" x14ac:dyDescent="0.25">
      <c r="A19" s="2865" t="s">
        <v>1865</v>
      </c>
      <c r="B19" s="2865"/>
      <c r="C19" s="2865"/>
      <c r="D19" s="2865"/>
      <c r="E19" s="2865"/>
      <c r="F19" s="2865"/>
      <c r="G19" s="2865"/>
      <c r="H19" s="2865"/>
      <c r="I19" s="2865"/>
      <c r="J19" s="2865"/>
      <c r="K19" s="2865"/>
    </row>
    <row r="20" spans="1:11" ht="43.5" thickTop="1" thickBot="1" x14ac:dyDescent="0.25">
      <c r="A20" s="857" t="s">
        <v>1089</v>
      </c>
      <c r="B20" s="858" t="s">
        <v>201</v>
      </c>
      <c r="C20" s="859" t="s">
        <v>99</v>
      </c>
      <c r="D20" s="860" t="s">
        <v>1090</v>
      </c>
      <c r="E20" s="859" t="s">
        <v>96</v>
      </c>
      <c r="F20" s="860" t="s">
        <v>1091</v>
      </c>
      <c r="G20" s="860" t="s">
        <v>1092</v>
      </c>
      <c r="H20" s="859" t="s">
        <v>113</v>
      </c>
      <c r="I20" s="859" t="s">
        <v>1093</v>
      </c>
      <c r="J20" s="861" t="s">
        <v>1094</v>
      </c>
      <c r="K20" s="862" t="s">
        <v>170</v>
      </c>
    </row>
    <row r="21" spans="1:11" ht="26.25" customHeight="1" thickTop="1" x14ac:dyDescent="0.2">
      <c r="A21" s="863" t="s">
        <v>1095</v>
      </c>
      <c r="B21" s="864">
        <v>189962.85292764523</v>
      </c>
      <c r="C21" s="864">
        <v>593937.73664512194</v>
      </c>
      <c r="D21" s="864">
        <v>52222.693272675409</v>
      </c>
      <c r="E21" s="864">
        <v>157081.88938548567</v>
      </c>
      <c r="F21" s="864">
        <v>36081.654705352688</v>
      </c>
      <c r="G21" s="864">
        <v>220609.98816912557</v>
      </c>
      <c r="H21" s="864">
        <v>55928.325929069775</v>
      </c>
      <c r="I21" s="864">
        <v>107020.984</v>
      </c>
      <c r="J21" s="865">
        <v>5856.84</v>
      </c>
      <c r="K21" s="866">
        <f>SUM(B21:J21)</f>
        <v>1418702.9650344765</v>
      </c>
    </row>
    <row r="22" spans="1:11" ht="26.25" customHeight="1" x14ac:dyDescent="0.2">
      <c r="A22" s="867" t="s">
        <v>1096</v>
      </c>
      <c r="B22" s="864">
        <v>186892.06862442207</v>
      </c>
      <c r="C22" s="864">
        <v>648106.25604200305</v>
      </c>
      <c r="D22" s="864">
        <v>56395.261100182004</v>
      </c>
      <c r="E22" s="864">
        <v>168214.19373804706</v>
      </c>
      <c r="F22" s="864">
        <v>25992.786070087066</v>
      </c>
      <c r="G22" s="864">
        <v>203253.0058382767</v>
      </c>
      <c r="H22" s="864">
        <v>57656.964895486119</v>
      </c>
      <c r="I22" s="864">
        <v>114917.75199999999</v>
      </c>
      <c r="J22" s="865">
        <v>6201.36</v>
      </c>
      <c r="K22" s="868">
        <f t="shared" ref="K22:K32" si="2">SUM(B22:J22)</f>
        <v>1467629.6483085041</v>
      </c>
    </row>
    <row r="23" spans="1:11" ht="26.25" customHeight="1" x14ac:dyDescent="0.2">
      <c r="A23" s="867" t="s">
        <v>160</v>
      </c>
      <c r="B23" s="864">
        <v>188981.43266239314</v>
      </c>
      <c r="C23" s="864">
        <v>627587.27168619214</v>
      </c>
      <c r="D23" s="864">
        <v>48141.576888358781</v>
      </c>
      <c r="E23" s="864">
        <v>167067.91734671904</v>
      </c>
      <c r="F23" s="864">
        <v>26590.868458985788</v>
      </c>
      <c r="G23" s="864">
        <v>213271.13749424211</v>
      </c>
      <c r="H23" s="864">
        <v>57690.726375183927</v>
      </c>
      <c r="I23" s="864">
        <v>111539.82399999999</v>
      </c>
      <c r="J23" s="865"/>
      <c r="K23" s="868">
        <f t="shared" si="2"/>
        <v>1440870.7549120751</v>
      </c>
    </row>
    <row r="24" spans="1:11" ht="26.25" customHeight="1" x14ac:dyDescent="0.2">
      <c r="A24" s="867" t="s">
        <v>1097</v>
      </c>
      <c r="B24" s="864">
        <v>201096.83946323133</v>
      </c>
      <c r="C24" s="864">
        <v>621692.63187641464</v>
      </c>
      <c r="D24" s="864">
        <v>47712.031006693403</v>
      </c>
      <c r="E24" s="864">
        <v>168152.77675381195</v>
      </c>
      <c r="F24" s="864">
        <v>26765.139205167612</v>
      </c>
      <c r="G24" s="864">
        <v>204072.03645122808</v>
      </c>
      <c r="H24" s="864">
        <v>55863.172001026396</v>
      </c>
      <c r="I24" s="864">
        <v>110334.03200000001</v>
      </c>
      <c r="J24" s="865"/>
      <c r="K24" s="868">
        <f t="shared" si="2"/>
        <v>1435688.6587575735</v>
      </c>
    </row>
    <row r="25" spans="1:11" ht="26.25" customHeight="1" x14ac:dyDescent="0.2">
      <c r="A25" s="867" t="s">
        <v>162</v>
      </c>
      <c r="B25" s="864">
        <v>192584.60216995276</v>
      </c>
      <c r="C25" s="864">
        <v>708023.20872612321</v>
      </c>
      <c r="D25" s="864">
        <v>63942.136837913902</v>
      </c>
      <c r="E25" s="864">
        <v>72683.024644506513</v>
      </c>
      <c r="F25" s="864">
        <v>27505.551162680847</v>
      </c>
      <c r="G25" s="864">
        <v>180478.57100695712</v>
      </c>
      <c r="H25" s="864">
        <v>50280.256653035503</v>
      </c>
      <c r="I25" s="864">
        <v>111827.54399999999</v>
      </c>
      <c r="J25" s="865">
        <v>1968</v>
      </c>
      <c r="K25" s="868">
        <f t="shared" si="2"/>
        <v>1409292.8952011701</v>
      </c>
    </row>
    <row r="26" spans="1:11" ht="26.25" customHeight="1" x14ac:dyDescent="0.2">
      <c r="A26" s="867" t="s">
        <v>1098</v>
      </c>
      <c r="B26" s="864">
        <v>198155.95860697373</v>
      </c>
      <c r="C26" s="864">
        <v>729953.05552018923</v>
      </c>
      <c r="D26" s="864">
        <v>63164.994613316354</v>
      </c>
      <c r="E26" s="864">
        <v>72383.925153490054</v>
      </c>
      <c r="F26" s="864">
        <v>28485.195667259446</v>
      </c>
      <c r="G26" s="864">
        <v>175706.66446680779</v>
      </c>
      <c r="H26" s="864">
        <v>48470.529214504029</v>
      </c>
      <c r="I26" s="864">
        <v>111094.44</v>
      </c>
      <c r="J26" s="865">
        <v>3008</v>
      </c>
      <c r="K26" s="868">
        <f t="shared" si="2"/>
        <v>1430422.7632425406</v>
      </c>
    </row>
    <row r="27" spans="1:11" ht="26.25" customHeight="1" x14ac:dyDescent="0.2">
      <c r="A27" s="867" t="s">
        <v>164</v>
      </c>
      <c r="B27" s="864">
        <v>187611.45504478077</v>
      </c>
      <c r="C27" s="864">
        <v>457364.608107434</v>
      </c>
      <c r="D27" s="864">
        <v>369813.52689493459</v>
      </c>
      <c r="E27" s="864">
        <v>69638.786520608352</v>
      </c>
      <c r="F27" s="864">
        <v>13645.81700916523</v>
      </c>
      <c r="G27" s="864">
        <v>173634.83689231559</v>
      </c>
      <c r="H27" s="864">
        <v>54090.939214622595</v>
      </c>
      <c r="I27" s="864">
        <v>111057.60000000001</v>
      </c>
      <c r="J27" s="865"/>
      <c r="K27" s="868">
        <f t="shared" si="2"/>
        <v>1436857.5696838612</v>
      </c>
    </row>
    <row r="28" spans="1:11" ht="26.25" customHeight="1" x14ac:dyDescent="0.2">
      <c r="A28" s="867" t="s">
        <v>520</v>
      </c>
      <c r="B28" s="864">
        <v>188997.67581429356</v>
      </c>
      <c r="C28" s="864">
        <v>436727.87821760931</v>
      </c>
      <c r="D28" s="864">
        <v>367584.6074351857</v>
      </c>
      <c r="E28" s="864">
        <v>64796.308868242726</v>
      </c>
      <c r="F28" s="864">
        <v>13284.608113708418</v>
      </c>
      <c r="G28" s="864">
        <v>186369.24848926</v>
      </c>
      <c r="H28" s="864">
        <v>55326.864186638646</v>
      </c>
      <c r="I28" s="864">
        <v>110108.696</v>
      </c>
      <c r="J28" s="865"/>
      <c r="K28" s="868">
        <f t="shared" si="2"/>
        <v>1423195.8871249384</v>
      </c>
    </row>
    <row r="29" spans="1:11" ht="26.25" customHeight="1" x14ac:dyDescent="0.2">
      <c r="A29" s="867" t="s">
        <v>166</v>
      </c>
      <c r="B29" s="864">
        <v>185305.24301437783</v>
      </c>
      <c r="C29" s="864">
        <v>340075.83345948515</v>
      </c>
      <c r="D29" s="864">
        <v>354279.53638189746</v>
      </c>
      <c r="E29" s="864">
        <v>62121.583476380671</v>
      </c>
      <c r="F29" s="864">
        <v>13890.27623867422</v>
      </c>
      <c r="G29" s="864">
        <v>280039.71398222708</v>
      </c>
      <c r="H29" s="864">
        <v>54376.750045794855</v>
      </c>
      <c r="I29" s="864">
        <v>109024.52800000001</v>
      </c>
      <c r="J29" s="865"/>
      <c r="K29" s="868">
        <f t="shared" si="2"/>
        <v>1399113.4645988371</v>
      </c>
    </row>
    <row r="30" spans="1:11" ht="26.25" customHeight="1" x14ac:dyDescent="0.2">
      <c r="A30" s="867" t="s">
        <v>1099</v>
      </c>
      <c r="B30" s="864">
        <v>165579.16103096987</v>
      </c>
      <c r="C30" s="864">
        <v>314643.03717023</v>
      </c>
      <c r="D30" s="864">
        <v>335055.91920896468</v>
      </c>
      <c r="E30" s="864">
        <v>59955.576369476279</v>
      </c>
      <c r="F30" s="864">
        <v>12234.882355512818</v>
      </c>
      <c r="G30" s="864">
        <v>273490.39027747302</v>
      </c>
      <c r="H30" s="864">
        <v>46905.101429841205</v>
      </c>
      <c r="I30" s="864">
        <v>110264.16</v>
      </c>
      <c r="J30" s="865"/>
      <c r="K30" s="868">
        <f t="shared" si="2"/>
        <v>1318128.2278424678</v>
      </c>
    </row>
    <row r="31" spans="1:11" ht="26.25" customHeight="1" x14ac:dyDescent="0.2">
      <c r="A31" s="867" t="s">
        <v>168</v>
      </c>
      <c r="B31" s="864">
        <v>191974.88448524533</v>
      </c>
      <c r="C31" s="864">
        <v>362929</v>
      </c>
      <c r="D31" s="864">
        <v>366958.45276362996</v>
      </c>
      <c r="E31" s="864">
        <v>64347.968690205547</v>
      </c>
      <c r="F31" s="864">
        <v>16425.961704395126</v>
      </c>
      <c r="G31" s="864">
        <v>292146.051419025</v>
      </c>
      <c r="H31" s="864">
        <v>49179.00013347387</v>
      </c>
      <c r="I31" s="864">
        <v>109216.864</v>
      </c>
      <c r="J31" s="865"/>
      <c r="K31" s="868">
        <f t="shared" si="2"/>
        <v>1453178.1831959749</v>
      </c>
    </row>
    <row r="32" spans="1:11" ht="26.25" customHeight="1" thickBot="1" x14ac:dyDescent="0.25">
      <c r="A32" s="869" t="s">
        <v>169</v>
      </c>
      <c r="B32" s="870">
        <v>167537.06316134182</v>
      </c>
      <c r="C32" s="870">
        <v>281841.05031327263</v>
      </c>
      <c r="D32" s="870">
        <v>319503.81981484283</v>
      </c>
      <c r="E32" s="870">
        <v>64325.754394181888</v>
      </c>
      <c r="F32" s="870">
        <v>12922.925365056246</v>
      </c>
      <c r="G32" s="870">
        <v>264592.28638843563</v>
      </c>
      <c r="H32" s="870">
        <v>37350.864776654656</v>
      </c>
      <c r="I32" s="870">
        <v>109657.32</v>
      </c>
      <c r="J32" s="871">
        <v>1875.72</v>
      </c>
      <c r="K32" s="872">
        <f t="shared" si="2"/>
        <v>1259606.8042137858</v>
      </c>
    </row>
    <row r="33" spans="1:23" ht="26.25" customHeight="1" thickTop="1" thickBot="1" x14ac:dyDescent="0.25">
      <c r="A33" s="862" t="s">
        <v>170</v>
      </c>
      <c r="B33" s="858">
        <f>SUM(B21:B32)</f>
        <v>2244679.2370056277</v>
      </c>
      <c r="C33" s="859">
        <f t="shared" ref="C33:K33" si="3">SUM(C21:C32)</f>
        <v>6122881.5677640755</v>
      </c>
      <c r="D33" s="859">
        <f t="shared" si="3"/>
        <v>2444774.5562185952</v>
      </c>
      <c r="E33" s="859">
        <f t="shared" si="3"/>
        <v>1190769.7053411561</v>
      </c>
      <c r="F33" s="859">
        <f t="shared" si="3"/>
        <v>253825.66605604551</v>
      </c>
      <c r="G33" s="859">
        <f t="shared" si="3"/>
        <v>2667663.930875374</v>
      </c>
      <c r="H33" s="859">
        <f t="shared" si="3"/>
        <v>623119.49485533161</v>
      </c>
      <c r="I33" s="859">
        <f t="shared" si="3"/>
        <v>1326063.7439999999</v>
      </c>
      <c r="J33" s="861">
        <f t="shared" si="3"/>
        <v>18909.920000000002</v>
      </c>
      <c r="K33" s="862">
        <f t="shared" si="3"/>
        <v>16892687.822116204</v>
      </c>
    </row>
    <row r="34" spans="1:23" ht="19.5" thickTop="1" x14ac:dyDescent="0.2">
      <c r="A34" s="2845" t="s">
        <v>1053</v>
      </c>
      <c r="B34" s="2845"/>
      <c r="C34" s="2845"/>
      <c r="D34" s="2845"/>
      <c r="E34" s="2845"/>
      <c r="F34" s="2845"/>
      <c r="G34" s="2845"/>
      <c r="H34" s="2845"/>
      <c r="I34" s="2845"/>
      <c r="J34" s="2845"/>
      <c r="K34" s="2845"/>
      <c r="L34" s="873"/>
      <c r="M34" s="873"/>
      <c r="N34" s="873"/>
      <c r="O34" s="873"/>
      <c r="P34" s="873"/>
      <c r="Q34" s="873"/>
      <c r="R34" s="873"/>
      <c r="S34" s="873"/>
      <c r="T34" s="873"/>
      <c r="U34" s="873"/>
      <c r="V34" s="873"/>
      <c r="W34" s="873"/>
    </row>
  </sheetData>
  <mergeCells count="3">
    <mergeCell ref="A2:K2"/>
    <mergeCell ref="A19:K19"/>
    <mergeCell ref="A34:K34"/>
  </mergeCells>
  <printOptions horizontalCentered="1" verticalCentered="1"/>
  <pageMargins left="0.11811023622047245" right="0.11811023622047245" top="0.35433070866141736" bottom="0.35433070866141736" header="0.31496062992125984" footer="0.11811023622047245"/>
  <pageSetup paperSize="9" scale="65" fitToHeight="2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3"/>
    <pageSetUpPr fitToPage="1"/>
  </sheetPr>
  <dimension ref="A1:W41"/>
  <sheetViews>
    <sheetView rightToLeft="1" workbookViewId="0">
      <selection activeCell="A18" sqref="A18"/>
    </sheetView>
  </sheetViews>
  <sheetFormatPr defaultColWidth="10.375" defaultRowHeight="15" x14ac:dyDescent="0.2"/>
  <cols>
    <col min="1" max="1" width="27.75" style="874" customWidth="1"/>
    <col min="2" max="2" width="18.25" style="874" bestFit="1" customWidth="1"/>
    <col min="3" max="3" width="20" style="874" bestFit="1" customWidth="1"/>
    <col min="4" max="4" width="26.5" style="874" bestFit="1" customWidth="1"/>
    <col min="5" max="5" width="17.875" style="874" bestFit="1" customWidth="1"/>
    <col min="6" max="6" width="17.25" style="874" bestFit="1" customWidth="1"/>
    <col min="7" max="7" width="21.75" style="874" customWidth="1"/>
    <col min="8" max="8" width="15.875" style="874" customWidth="1"/>
    <col min="9" max="9" width="10.625" style="874" bestFit="1" customWidth="1"/>
    <col min="10" max="16384" width="10.375" style="874"/>
  </cols>
  <sheetData>
    <row r="1" spans="1:23" ht="18.75" x14ac:dyDescent="0.2">
      <c r="A1" s="854"/>
    </row>
    <row r="2" spans="1:23" s="875" customFormat="1" ht="20.25" thickBot="1" x14ac:dyDescent="0.25">
      <c r="A2" s="2866" t="s">
        <v>1866</v>
      </c>
      <c r="B2" s="2866"/>
      <c r="C2" s="2866"/>
      <c r="D2" s="2866"/>
    </row>
    <row r="3" spans="1:23" ht="22.5" thickTop="1" thickBot="1" x14ac:dyDescent="0.25">
      <c r="A3" s="862" t="s">
        <v>1100</v>
      </c>
      <c r="B3" s="858" t="s">
        <v>1101</v>
      </c>
      <c r="C3" s="859" t="s">
        <v>1102</v>
      </c>
      <c r="D3" s="876" t="s">
        <v>1103</v>
      </c>
      <c r="F3" s="877"/>
      <c r="G3" s="877"/>
      <c r="H3" s="877"/>
      <c r="I3" s="877"/>
      <c r="J3" s="877"/>
      <c r="K3" s="877"/>
      <c r="L3" s="877"/>
      <c r="M3" s="877"/>
      <c r="N3" s="877"/>
      <c r="O3" s="877"/>
    </row>
    <row r="4" spans="1:23" ht="21.75" thickTop="1" x14ac:dyDescent="0.2">
      <c r="A4" s="878" t="s">
        <v>201</v>
      </c>
      <c r="B4" s="879">
        <v>3492746</v>
      </c>
      <c r="C4" s="880">
        <v>3451882</v>
      </c>
      <c r="D4" s="881">
        <f t="shared" ref="D4:D14" si="0">C4/B4</f>
        <v>0.98830032301232329</v>
      </c>
      <c r="F4" s="877"/>
      <c r="G4" s="877"/>
      <c r="H4" s="877"/>
      <c r="I4" s="882"/>
      <c r="J4" s="877"/>
      <c r="K4" s="877"/>
      <c r="L4" s="877"/>
      <c r="M4" s="877"/>
      <c r="N4" s="877"/>
      <c r="O4" s="877"/>
    </row>
    <row r="5" spans="1:23" ht="21" x14ac:dyDescent="0.2">
      <c r="A5" s="883" t="s">
        <v>99</v>
      </c>
      <c r="B5" s="884">
        <v>8504550</v>
      </c>
      <c r="C5" s="885">
        <v>8378101</v>
      </c>
      <c r="D5" s="886">
        <f t="shared" si="0"/>
        <v>0.98513160602265848</v>
      </c>
      <c r="F5" s="877"/>
      <c r="G5" s="877"/>
      <c r="H5" s="877"/>
      <c r="I5" s="882"/>
    </row>
    <row r="6" spans="1:23" ht="21" x14ac:dyDescent="0.2">
      <c r="A6" s="883" t="s">
        <v>1077</v>
      </c>
      <c r="B6" s="884">
        <v>3158428</v>
      </c>
      <c r="C6" s="885">
        <v>3101577</v>
      </c>
      <c r="D6" s="886">
        <f t="shared" si="0"/>
        <v>0.98200022289569366</v>
      </c>
      <c r="F6" s="877"/>
      <c r="G6" s="877"/>
      <c r="H6" s="877"/>
      <c r="I6" s="882"/>
    </row>
    <row r="7" spans="1:23" ht="21" x14ac:dyDescent="0.2">
      <c r="A7" s="883" t="s">
        <v>96</v>
      </c>
      <c r="B7" s="884">
        <v>1554856</v>
      </c>
      <c r="C7" s="885">
        <v>1546818</v>
      </c>
      <c r="D7" s="886">
        <f t="shared" si="0"/>
        <v>0.99483038943799296</v>
      </c>
      <c r="F7" s="877"/>
      <c r="G7" s="877"/>
      <c r="H7" s="877"/>
      <c r="I7" s="882"/>
    </row>
    <row r="8" spans="1:23" ht="21" x14ac:dyDescent="0.2">
      <c r="A8" s="883" t="s">
        <v>1078</v>
      </c>
      <c r="B8" s="884">
        <v>541832</v>
      </c>
      <c r="C8" s="885">
        <v>537617</v>
      </c>
      <c r="D8" s="886">
        <f t="shared" si="0"/>
        <v>0.99222083597867972</v>
      </c>
      <c r="F8" s="877"/>
      <c r="G8" s="877"/>
      <c r="H8" s="877"/>
      <c r="I8" s="882"/>
    </row>
    <row r="9" spans="1:23" ht="21" x14ac:dyDescent="0.2">
      <c r="A9" s="883" t="s">
        <v>1079</v>
      </c>
      <c r="B9" s="884">
        <v>3032602</v>
      </c>
      <c r="C9" s="885">
        <v>3003543</v>
      </c>
      <c r="D9" s="886">
        <f t="shared" si="0"/>
        <v>0.99041779963213106</v>
      </c>
      <c r="F9" s="877"/>
      <c r="G9" s="877"/>
      <c r="H9" s="877"/>
      <c r="I9" s="882"/>
    </row>
    <row r="10" spans="1:23" ht="21.75" thickBot="1" x14ac:dyDescent="0.25">
      <c r="A10" s="887" t="s">
        <v>113</v>
      </c>
      <c r="B10" s="888">
        <v>633942</v>
      </c>
      <c r="C10" s="889">
        <v>620802</v>
      </c>
      <c r="D10" s="890">
        <f t="shared" si="0"/>
        <v>0.97927255174763617</v>
      </c>
      <c r="F10" s="877"/>
      <c r="G10" s="877"/>
      <c r="H10" s="877"/>
      <c r="I10" s="882"/>
    </row>
    <row r="11" spans="1:23" ht="22.5" thickTop="1" thickBot="1" x14ac:dyDescent="0.25">
      <c r="A11" s="862" t="s">
        <v>1104</v>
      </c>
      <c r="B11" s="891">
        <f>SUM(B4:B10)</f>
        <v>20918956</v>
      </c>
      <c r="C11" s="892">
        <f>SUM(C4:C10)</f>
        <v>20640340</v>
      </c>
      <c r="D11" s="893">
        <f t="shared" si="0"/>
        <v>0.98668117089590901</v>
      </c>
      <c r="G11" s="894"/>
      <c r="H11" s="877"/>
      <c r="I11" s="882"/>
    </row>
    <row r="12" spans="1:23" ht="21.75" thickTop="1" x14ac:dyDescent="0.2">
      <c r="A12" s="878" t="s">
        <v>1105</v>
      </c>
      <c r="B12" s="879">
        <v>12991441</v>
      </c>
      <c r="C12" s="880">
        <v>9495900</v>
      </c>
      <c r="D12" s="881">
        <f t="shared" si="0"/>
        <v>0.7309350825670532</v>
      </c>
      <c r="F12" s="877"/>
      <c r="G12" s="877"/>
      <c r="H12" s="877"/>
      <c r="I12" s="877"/>
    </row>
    <row r="13" spans="1:23" ht="21.75" thickBot="1" x14ac:dyDescent="0.25">
      <c r="A13" s="887" t="s">
        <v>1081</v>
      </c>
      <c r="B13" s="888">
        <v>19760</v>
      </c>
      <c r="C13" s="889">
        <v>4744</v>
      </c>
      <c r="D13" s="890">
        <f t="shared" si="0"/>
        <v>0.24008097165991904</v>
      </c>
      <c r="F13" s="877"/>
      <c r="G13" s="877"/>
      <c r="H13" s="877"/>
      <c r="I13" s="895"/>
    </row>
    <row r="14" spans="1:23" ht="22.5" thickTop="1" thickBot="1" x14ac:dyDescent="0.25">
      <c r="A14" s="862" t="s">
        <v>170</v>
      </c>
      <c r="B14" s="858">
        <f>SUM(B11:B13)</f>
        <v>33930157</v>
      </c>
      <c r="C14" s="859">
        <f>SUM(C11:C13)</f>
        <v>30140984</v>
      </c>
      <c r="D14" s="893">
        <f t="shared" si="0"/>
        <v>0.88832433047686754</v>
      </c>
      <c r="E14" s="877"/>
      <c r="F14" s="877"/>
      <c r="G14" s="877"/>
    </row>
    <row r="15" spans="1:23" ht="20.25" customHeight="1" thickTop="1" x14ac:dyDescent="0.2">
      <c r="A15" s="2867" t="s">
        <v>1053</v>
      </c>
      <c r="B15" s="2867"/>
      <c r="C15" s="2867"/>
      <c r="D15" s="2867"/>
      <c r="E15" s="873"/>
      <c r="F15" s="873"/>
      <c r="G15" s="873"/>
      <c r="H15" s="873"/>
      <c r="I15" s="873"/>
      <c r="J15" s="873"/>
      <c r="K15" s="873"/>
      <c r="L15" s="873"/>
      <c r="M15" s="873"/>
      <c r="N15" s="873"/>
      <c r="O15" s="873"/>
      <c r="P15" s="873"/>
      <c r="Q15" s="873"/>
      <c r="R15" s="873"/>
      <c r="S15" s="873"/>
      <c r="T15" s="873"/>
      <c r="U15" s="873"/>
      <c r="V15" s="873"/>
      <c r="W15" s="873"/>
    </row>
    <row r="16" spans="1:23" ht="18.75" x14ac:dyDescent="0.2">
      <c r="A16" s="854"/>
    </row>
    <row r="17" spans="1:23" s="875" customFormat="1" ht="20.25" thickBot="1" x14ac:dyDescent="0.25">
      <c r="A17" s="2866" t="s">
        <v>1867</v>
      </c>
      <c r="B17" s="2866"/>
      <c r="C17" s="2866"/>
      <c r="D17" s="2866"/>
    </row>
    <row r="18" spans="1:23" ht="22.5" thickTop="1" thickBot="1" x14ac:dyDescent="0.25">
      <c r="A18" s="862" t="s">
        <v>195</v>
      </c>
      <c r="B18" s="858" t="s">
        <v>1101</v>
      </c>
      <c r="C18" s="859" t="s">
        <v>1102</v>
      </c>
      <c r="D18" s="876" t="s">
        <v>1103</v>
      </c>
    </row>
    <row r="19" spans="1:23" ht="21.75" thickTop="1" x14ac:dyDescent="0.2">
      <c r="A19" s="878" t="s">
        <v>1095</v>
      </c>
      <c r="B19" s="879">
        <v>2766254</v>
      </c>
      <c r="C19" s="880">
        <v>2374764</v>
      </c>
      <c r="D19" s="896">
        <f t="shared" ref="D19:D31" si="1">C19/B19</f>
        <v>0.85847648119080899</v>
      </c>
      <c r="E19" s="877"/>
      <c r="G19" s="777"/>
    </row>
    <row r="20" spans="1:23" ht="21" x14ac:dyDescent="0.2">
      <c r="A20" s="883" t="s">
        <v>1096</v>
      </c>
      <c r="B20" s="884">
        <v>2993272</v>
      </c>
      <c r="C20" s="885">
        <v>2611662</v>
      </c>
      <c r="D20" s="897">
        <f t="shared" si="1"/>
        <v>0.87251075077707607</v>
      </c>
      <c r="E20" s="877"/>
      <c r="G20" s="777"/>
    </row>
    <row r="21" spans="1:23" ht="21" x14ac:dyDescent="0.2">
      <c r="A21" s="883" t="s">
        <v>160</v>
      </c>
      <c r="B21" s="884">
        <v>2910334</v>
      </c>
      <c r="C21" s="885">
        <v>2588530</v>
      </c>
      <c r="D21" s="897">
        <f t="shared" si="1"/>
        <v>0.8894271241720022</v>
      </c>
      <c r="E21" s="877"/>
      <c r="G21" s="777"/>
    </row>
    <row r="22" spans="1:23" ht="21" x14ac:dyDescent="0.2">
      <c r="A22" s="883" t="s">
        <v>1097</v>
      </c>
      <c r="B22" s="884">
        <v>2876950</v>
      </c>
      <c r="C22" s="885">
        <v>2594959</v>
      </c>
      <c r="D22" s="897">
        <f t="shared" si="1"/>
        <v>0.90198265524253118</v>
      </c>
      <c r="E22" s="877"/>
      <c r="G22" s="777"/>
    </row>
    <row r="23" spans="1:23" ht="21" x14ac:dyDescent="0.2">
      <c r="A23" s="883" t="s">
        <v>162</v>
      </c>
      <c r="B23" s="884">
        <v>2934969</v>
      </c>
      <c r="C23" s="885">
        <v>2645094</v>
      </c>
      <c r="D23" s="897">
        <f t="shared" si="1"/>
        <v>0.90123405051296968</v>
      </c>
      <c r="E23" s="877"/>
      <c r="G23" s="777"/>
    </row>
    <row r="24" spans="1:23" ht="21" x14ac:dyDescent="0.2">
      <c r="A24" s="883" t="s">
        <v>1098</v>
      </c>
      <c r="B24" s="884">
        <v>2892445</v>
      </c>
      <c r="C24" s="885">
        <v>2617659</v>
      </c>
      <c r="D24" s="897">
        <f t="shared" si="1"/>
        <v>0.90499871216220185</v>
      </c>
      <c r="E24" s="877"/>
      <c r="G24" s="777"/>
    </row>
    <row r="25" spans="1:23" ht="21" x14ac:dyDescent="0.2">
      <c r="A25" s="883" t="s">
        <v>164</v>
      </c>
      <c r="B25" s="884">
        <v>2857104</v>
      </c>
      <c r="C25" s="885">
        <v>2546645</v>
      </c>
      <c r="D25" s="897">
        <f t="shared" si="1"/>
        <v>0.89133787219506189</v>
      </c>
      <c r="E25" s="877"/>
      <c r="G25" s="777"/>
    </row>
    <row r="26" spans="1:23" ht="21" x14ac:dyDescent="0.2">
      <c r="A26" s="883" t="s">
        <v>520</v>
      </c>
      <c r="B26" s="884">
        <v>2834576</v>
      </c>
      <c r="C26" s="885">
        <v>2553382</v>
      </c>
      <c r="D26" s="897">
        <f t="shared" si="1"/>
        <v>0.90079856740479003</v>
      </c>
      <c r="E26" s="877"/>
      <c r="G26" s="777"/>
    </row>
    <row r="27" spans="1:23" ht="21" x14ac:dyDescent="0.2">
      <c r="A27" s="883" t="s">
        <v>166</v>
      </c>
      <c r="B27" s="884">
        <v>2762823</v>
      </c>
      <c r="C27" s="885">
        <v>2499569</v>
      </c>
      <c r="D27" s="897">
        <f t="shared" si="1"/>
        <v>0.90471557533725466</v>
      </c>
      <c r="E27" s="877"/>
      <c r="G27" s="777"/>
    </row>
    <row r="28" spans="1:23" ht="21" x14ac:dyDescent="0.2">
      <c r="A28" s="883" t="s">
        <v>1099</v>
      </c>
      <c r="B28" s="884">
        <v>2685026</v>
      </c>
      <c r="C28" s="885">
        <v>2362312</v>
      </c>
      <c r="D28" s="897">
        <f t="shared" si="1"/>
        <v>0.87980972996164652</v>
      </c>
      <c r="E28" s="877"/>
      <c r="G28" s="777"/>
    </row>
    <row r="29" spans="1:23" ht="21" x14ac:dyDescent="0.2">
      <c r="A29" s="883" t="s">
        <v>168</v>
      </c>
      <c r="B29" s="884">
        <v>2810274</v>
      </c>
      <c r="C29" s="885">
        <v>2502149</v>
      </c>
      <c r="D29" s="897">
        <f t="shared" si="1"/>
        <v>0.89035766619197987</v>
      </c>
      <c r="E29" s="877"/>
      <c r="G29" s="777"/>
    </row>
    <row r="30" spans="1:23" ht="21.75" thickBot="1" x14ac:dyDescent="0.25">
      <c r="A30" s="887" t="s">
        <v>169</v>
      </c>
      <c r="B30" s="888">
        <v>2606130</v>
      </c>
      <c r="C30" s="889">
        <v>2244259</v>
      </c>
      <c r="D30" s="898">
        <f t="shared" si="1"/>
        <v>0.86114622064133406</v>
      </c>
      <c r="E30" s="877"/>
      <c r="G30" s="777"/>
    </row>
    <row r="31" spans="1:23" ht="22.5" thickTop="1" thickBot="1" x14ac:dyDescent="0.25">
      <c r="A31" s="862" t="s">
        <v>170</v>
      </c>
      <c r="B31" s="858">
        <f>SUM(B19:B30)</f>
        <v>33930157</v>
      </c>
      <c r="C31" s="859">
        <f>SUM(C19:C30)</f>
        <v>30140984</v>
      </c>
      <c r="D31" s="899">
        <f t="shared" si="1"/>
        <v>0.88832433047686754</v>
      </c>
      <c r="E31" s="877"/>
      <c r="G31" s="877"/>
    </row>
    <row r="32" spans="1:23" ht="20.25" customHeight="1" thickTop="1" x14ac:dyDescent="0.2">
      <c r="A32" s="2867" t="s">
        <v>1053</v>
      </c>
      <c r="B32" s="2867"/>
      <c r="C32" s="2867"/>
      <c r="D32" s="2867"/>
      <c r="E32" s="873"/>
      <c r="F32" s="873"/>
      <c r="G32" s="873"/>
      <c r="H32" s="873"/>
      <c r="I32" s="873"/>
      <c r="J32" s="873"/>
      <c r="K32" s="873"/>
      <c r="L32" s="873"/>
      <c r="M32" s="873"/>
      <c r="N32" s="873"/>
      <c r="O32" s="873"/>
      <c r="P32" s="873"/>
      <c r="Q32" s="873"/>
      <c r="R32" s="873"/>
      <c r="S32" s="873"/>
      <c r="T32" s="873"/>
      <c r="U32" s="873"/>
      <c r="V32" s="873"/>
      <c r="W32" s="873"/>
    </row>
    <row r="33" spans="5:5" x14ac:dyDescent="0.2">
      <c r="E33" s="877"/>
    </row>
    <row r="34" spans="5:5" x14ac:dyDescent="0.2">
      <c r="E34" s="877"/>
    </row>
    <row r="35" spans="5:5" x14ac:dyDescent="0.2">
      <c r="E35" s="877"/>
    </row>
    <row r="36" spans="5:5" x14ac:dyDescent="0.2">
      <c r="E36" s="877"/>
    </row>
    <row r="37" spans="5:5" x14ac:dyDescent="0.2">
      <c r="E37" s="877"/>
    </row>
    <row r="38" spans="5:5" x14ac:dyDescent="0.2">
      <c r="E38" s="877"/>
    </row>
    <row r="39" spans="5:5" x14ac:dyDescent="0.2">
      <c r="E39" s="877"/>
    </row>
    <row r="40" spans="5:5" x14ac:dyDescent="0.2">
      <c r="E40" s="877"/>
    </row>
    <row r="41" spans="5:5" x14ac:dyDescent="0.2">
      <c r="E41" s="877"/>
    </row>
  </sheetData>
  <mergeCells count="4">
    <mergeCell ref="A2:D2"/>
    <mergeCell ref="A15:D15"/>
    <mergeCell ref="A17:D17"/>
    <mergeCell ref="A32:D32"/>
  </mergeCells>
  <printOptions horizontalCentered="1" verticalCentered="1"/>
  <pageMargins left="0" right="0" top="0" bottom="0" header="0.31496062992125984" footer="0.31496062992125984"/>
  <pageSetup paperSize="9" fitToHeight="2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/>
    <pageSetUpPr fitToPage="1"/>
  </sheetPr>
  <dimension ref="A1:W34"/>
  <sheetViews>
    <sheetView rightToLeft="1" workbookViewId="0">
      <selection activeCell="A19" sqref="A19"/>
    </sheetView>
  </sheetViews>
  <sheetFormatPr defaultColWidth="10.375" defaultRowHeight="15" x14ac:dyDescent="0.2"/>
  <cols>
    <col min="1" max="1" width="27.75" style="874" customWidth="1"/>
    <col min="2" max="2" width="18.25" style="874" bestFit="1" customWidth="1"/>
    <col min="3" max="3" width="20" style="874" bestFit="1" customWidth="1"/>
    <col min="4" max="4" width="26.5" style="874" bestFit="1" customWidth="1"/>
    <col min="5" max="5" width="17.25" style="874" bestFit="1" customWidth="1"/>
    <col min="6" max="6" width="21.75" style="874" customWidth="1"/>
    <col min="7" max="7" width="15.875" style="874" customWidth="1"/>
    <col min="8" max="8" width="13.125" style="874" bestFit="1" customWidth="1"/>
    <col min="9" max="16384" width="10.375" style="874"/>
  </cols>
  <sheetData>
    <row r="1" spans="1:23" ht="18.75" x14ac:dyDescent="0.2">
      <c r="A1" s="854"/>
    </row>
    <row r="2" spans="1:23" s="875" customFormat="1" ht="19.5" x14ac:dyDescent="0.2">
      <c r="A2" s="2866" t="s">
        <v>1868</v>
      </c>
      <c r="B2" s="2866"/>
      <c r="C2" s="2866"/>
      <c r="D2" s="2866"/>
    </row>
    <row r="3" spans="1:23" s="875" customFormat="1" ht="20.25" thickBot="1" x14ac:dyDescent="0.25">
      <c r="A3" s="900"/>
      <c r="B3" s="900"/>
      <c r="C3" s="900"/>
      <c r="D3" s="874"/>
    </row>
    <row r="4" spans="1:23" ht="22.5" thickTop="1" thickBot="1" x14ac:dyDescent="0.25">
      <c r="A4" s="862" t="s">
        <v>1100</v>
      </c>
      <c r="B4" s="858" t="s">
        <v>1106</v>
      </c>
      <c r="C4" s="859" t="s">
        <v>1107</v>
      </c>
      <c r="D4" s="901" t="s">
        <v>1108</v>
      </c>
      <c r="E4" s="877"/>
      <c r="F4" s="877"/>
      <c r="G4" s="877"/>
      <c r="H4" s="877"/>
      <c r="I4" s="877"/>
      <c r="J4" s="877"/>
      <c r="K4" s="877"/>
      <c r="L4" s="877"/>
      <c r="M4" s="877"/>
      <c r="N4" s="877"/>
    </row>
    <row r="5" spans="1:23" ht="23.25" thickTop="1" x14ac:dyDescent="0.55000000000000004">
      <c r="A5" s="902" t="s">
        <v>201</v>
      </c>
      <c r="B5" s="903">
        <v>2244679.2370056277</v>
      </c>
      <c r="C5" s="904">
        <v>1932754.2040708563</v>
      </c>
      <c r="D5" s="881">
        <f t="shared" ref="D5:D14" si="0">C5/B5</f>
        <v>0.86103803706454052</v>
      </c>
      <c r="E5" s="877"/>
      <c r="F5" s="877"/>
      <c r="G5" s="877"/>
      <c r="H5" s="882"/>
      <c r="I5" s="877"/>
      <c r="J5" s="877"/>
      <c r="K5" s="877"/>
      <c r="L5" s="877"/>
      <c r="M5" s="877"/>
      <c r="N5" s="877"/>
    </row>
    <row r="6" spans="1:23" ht="22.5" x14ac:dyDescent="0.55000000000000004">
      <c r="A6" s="905" t="s">
        <v>99</v>
      </c>
      <c r="B6" s="906">
        <v>6122881.5677640755</v>
      </c>
      <c r="C6" s="907">
        <v>5943572.01000016</v>
      </c>
      <c r="D6" s="886">
        <f t="shared" si="0"/>
        <v>0.97071484140605468</v>
      </c>
      <c r="E6" s="877"/>
      <c r="F6" s="877"/>
      <c r="G6" s="877"/>
      <c r="H6" s="882"/>
    </row>
    <row r="7" spans="1:23" ht="22.5" x14ac:dyDescent="0.55000000000000004">
      <c r="A7" s="905" t="s">
        <v>1077</v>
      </c>
      <c r="B7" s="906">
        <v>2444774.5562185952</v>
      </c>
      <c r="C7" s="907">
        <v>1952666.4429746384</v>
      </c>
      <c r="D7" s="886">
        <f t="shared" si="0"/>
        <v>0.79871022790538404</v>
      </c>
      <c r="E7" s="877"/>
      <c r="F7" s="877"/>
      <c r="G7" s="877"/>
      <c r="H7" s="882"/>
    </row>
    <row r="8" spans="1:23" ht="22.5" x14ac:dyDescent="0.55000000000000004">
      <c r="A8" s="905" t="s">
        <v>96</v>
      </c>
      <c r="B8" s="906">
        <v>1190769.7053411561</v>
      </c>
      <c r="C8" s="907">
        <v>1181550.7058736512</v>
      </c>
      <c r="D8" s="886">
        <f t="shared" si="0"/>
        <v>0.99225794926915467</v>
      </c>
      <c r="E8" s="877"/>
      <c r="F8" s="877"/>
      <c r="G8" s="877"/>
      <c r="H8" s="882"/>
    </row>
    <row r="9" spans="1:23" ht="22.5" x14ac:dyDescent="0.55000000000000004">
      <c r="A9" s="905" t="s">
        <v>1078</v>
      </c>
      <c r="B9" s="906">
        <v>253825.66605604551</v>
      </c>
      <c r="C9" s="907">
        <v>248547.67300000001</v>
      </c>
      <c r="D9" s="886">
        <f t="shared" si="0"/>
        <v>0.97920622788839606</v>
      </c>
      <c r="E9" s="877"/>
      <c r="F9" s="877"/>
      <c r="G9" s="877"/>
      <c r="H9" s="882"/>
    </row>
    <row r="10" spans="1:23" ht="22.5" x14ac:dyDescent="0.55000000000000004">
      <c r="A10" s="905" t="s">
        <v>1079</v>
      </c>
      <c r="B10" s="906">
        <v>2667663.930875374</v>
      </c>
      <c r="C10" s="907">
        <v>2582553.9330807398</v>
      </c>
      <c r="D10" s="886">
        <f t="shared" si="0"/>
        <v>0.96809568221484854</v>
      </c>
      <c r="E10" s="877"/>
      <c r="F10" s="882"/>
      <c r="G10" s="877"/>
      <c r="H10" s="882"/>
    </row>
    <row r="11" spans="1:23" ht="22.5" x14ac:dyDescent="0.55000000000000004">
      <c r="A11" s="905" t="s">
        <v>113</v>
      </c>
      <c r="B11" s="906">
        <v>623119.49485533161</v>
      </c>
      <c r="C11" s="907">
        <v>615746.48899999994</v>
      </c>
      <c r="D11" s="886">
        <f t="shared" si="0"/>
        <v>0.98816758917638514</v>
      </c>
      <c r="E11" s="877"/>
      <c r="F11" s="877"/>
      <c r="G11" s="877"/>
      <c r="H11" s="882"/>
      <c r="I11" s="908"/>
    </row>
    <row r="12" spans="1:23" ht="22.5" x14ac:dyDescent="0.55000000000000004">
      <c r="A12" s="883" t="s">
        <v>1105</v>
      </c>
      <c r="B12" s="906">
        <v>1326063.7439999999</v>
      </c>
      <c r="C12" s="907">
        <v>894574.28500000003</v>
      </c>
      <c r="D12" s="886">
        <f t="shared" si="0"/>
        <v>0.67460881050979105</v>
      </c>
      <c r="E12" s="877"/>
      <c r="F12" s="877"/>
      <c r="G12" s="877"/>
      <c r="H12" s="882"/>
    </row>
    <row r="13" spans="1:23" ht="23.25" thickBot="1" x14ac:dyDescent="0.6">
      <c r="A13" s="887" t="s">
        <v>1081</v>
      </c>
      <c r="B13" s="909">
        <v>18909.920000000002</v>
      </c>
      <c r="C13" s="910">
        <v>6554.5519999999997</v>
      </c>
      <c r="D13" s="890">
        <f t="shared" si="0"/>
        <v>0.34661976359498076</v>
      </c>
      <c r="E13" s="877"/>
      <c r="F13" s="877"/>
      <c r="G13" s="877"/>
      <c r="H13" s="882"/>
    </row>
    <row r="14" spans="1:23" ht="25.5" thickTop="1" thickBot="1" x14ac:dyDescent="0.25">
      <c r="A14" s="862" t="s">
        <v>170</v>
      </c>
      <c r="B14" s="911">
        <f>SUM(B5:B13)</f>
        <v>16892687.822116207</v>
      </c>
      <c r="C14" s="912">
        <f>SUM(C5:C13)</f>
        <v>15358520.295000046</v>
      </c>
      <c r="D14" s="899">
        <f t="shared" si="0"/>
        <v>0.90918156167501052</v>
      </c>
      <c r="F14" s="877"/>
    </row>
    <row r="15" spans="1:23" ht="19.5" thickTop="1" x14ac:dyDescent="0.2">
      <c r="A15" s="873" t="s">
        <v>1053</v>
      </c>
      <c r="B15" s="873"/>
      <c r="C15" s="873"/>
      <c r="D15" s="873"/>
      <c r="E15" s="873"/>
      <c r="F15" s="873"/>
      <c r="G15" s="873"/>
      <c r="H15" s="873"/>
      <c r="I15" s="873"/>
      <c r="J15" s="873"/>
      <c r="K15" s="873"/>
      <c r="L15" s="873"/>
      <c r="M15" s="873"/>
      <c r="N15" s="873"/>
      <c r="O15" s="873"/>
      <c r="P15" s="873"/>
      <c r="Q15" s="873"/>
      <c r="R15" s="873"/>
      <c r="S15" s="873"/>
      <c r="T15" s="873"/>
      <c r="U15" s="873"/>
      <c r="V15" s="873"/>
      <c r="W15" s="873"/>
    </row>
    <row r="16" spans="1:23" ht="18.75" x14ac:dyDescent="0.2">
      <c r="A16" s="854"/>
    </row>
    <row r="17" spans="1:6" ht="18.75" x14ac:dyDescent="0.2">
      <c r="A17" s="854"/>
    </row>
    <row r="18" spans="1:6" s="875" customFormat="1" ht="19.5" x14ac:dyDescent="0.2">
      <c r="A18" s="2866" t="s">
        <v>1869</v>
      </c>
      <c r="B18" s="2866"/>
      <c r="C18" s="2866"/>
      <c r="D18" s="2866"/>
    </row>
    <row r="19" spans="1:6" s="875" customFormat="1" ht="20.25" thickBot="1" x14ac:dyDescent="0.25">
      <c r="A19" s="900"/>
      <c r="B19" s="900"/>
      <c r="C19" s="900"/>
      <c r="D19" s="874"/>
    </row>
    <row r="20" spans="1:6" ht="22.5" thickTop="1" thickBot="1" x14ac:dyDescent="0.25">
      <c r="A20" s="862" t="s">
        <v>195</v>
      </c>
      <c r="B20" s="858" t="s">
        <v>1106</v>
      </c>
      <c r="C20" s="859" t="s">
        <v>1107</v>
      </c>
      <c r="D20" s="901" t="s">
        <v>1108</v>
      </c>
      <c r="F20" s="777"/>
    </row>
    <row r="21" spans="1:6" ht="23.25" thickTop="1" x14ac:dyDescent="0.2">
      <c r="A21" s="878" t="s">
        <v>1095</v>
      </c>
      <c r="B21" s="903">
        <v>1490360.2879999999</v>
      </c>
      <c r="C21" s="913">
        <v>1310045.4709999999</v>
      </c>
      <c r="D21" s="896">
        <f t="shared" ref="D21:D33" si="1">C21/B21</f>
        <v>0.8790125995359318</v>
      </c>
      <c r="F21" s="777"/>
    </row>
    <row r="22" spans="1:6" ht="22.5" x14ac:dyDescent="0.2">
      <c r="A22" s="883" t="s">
        <v>1096</v>
      </c>
      <c r="B22" s="906">
        <v>1478288.3580000005</v>
      </c>
      <c r="C22" s="914">
        <v>1356427.4833290563</v>
      </c>
      <c r="D22" s="897">
        <f t="shared" si="1"/>
        <v>0.91756623529403181</v>
      </c>
      <c r="F22" s="777"/>
    </row>
    <row r="23" spans="1:6" ht="22.5" x14ac:dyDescent="0.2">
      <c r="A23" s="883" t="s">
        <v>160</v>
      </c>
      <c r="B23" s="906">
        <v>1437187.2320000001</v>
      </c>
      <c r="C23" s="914">
        <v>1341460.2002869165</v>
      </c>
      <c r="D23" s="897">
        <f t="shared" si="1"/>
        <v>0.93339279004039777</v>
      </c>
      <c r="F23" s="777"/>
    </row>
    <row r="24" spans="1:6" ht="22.5" x14ac:dyDescent="0.2">
      <c r="A24" s="883" t="s">
        <v>1097</v>
      </c>
      <c r="B24" s="906">
        <v>1439073.2039999999</v>
      </c>
      <c r="C24" s="914">
        <v>1337077.5473769489</v>
      </c>
      <c r="D24" s="897">
        <f t="shared" si="1"/>
        <v>0.92912406655926372</v>
      </c>
      <c r="F24" s="777"/>
    </row>
    <row r="25" spans="1:6" ht="22.5" x14ac:dyDescent="0.2">
      <c r="A25" s="883" t="s">
        <v>162</v>
      </c>
      <c r="B25" s="906">
        <v>1398197.1860000002</v>
      </c>
      <c r="C25" s="914">
        <v>1310540.4102869164</v>
      </c>
      <c r="D25" s="897">
        <f t="shared" si="1"/>
        <v>0.93730728641798045</v>
      </c>
      <c r="F25" s="777"/>
    </row>
    <row r="26" spans="1:6" ht="22.5" x14ac:dyDescent="0.2">
      <c r="A26" s="883" t="s">
        <v>1098</v>
      </c>
      <c r="B26" s="906">
        <v>1421135.044</v>
      </c>
      <c r="C26" s="914">
        <v>1325172.2006465425</v>
      </c>
      <c r="D26" s="897">
        <f t="shared" si="1"/>
        <v>0.93247450778262742</v>
      </c>
      <c r="F26" s="777"/>
    </row>
    <row r="27" spans="1:6" ht="22.5" x14ac:dyDescent="0.2">
      <c r="A27" s="883" t="s">
        <v>164</v>
      </c>
      <c r="B27" s="906">
        <v>1366842.5760000001</v>
      </c>
      <c r="C27" s="914">
        <v>1279538.3165630403</v>
      </c>
      <c r="D27" s="897">
        <f t="shared" si="1"/>
        <v>0.93612705590979495</v>
      </c>
      <c r="F27" s="777"/>
    </row>
    <row r="28" spans="1:6" ht="22.5" x14ac:dyDescent="0.2">
      <c r="A28" s="883" t="s">
        <v>520</v>
      </c>
      <c r="B28" s="906">
        <v>1363812.152</v>
      </c>
      <c r="C28" s="914">
        <v>1268457.7099226662</v>
      </c>
      <c r="D28" s="897">
        <f t="shared" si="1"/>
        <v>0.93008242232077298</v>
      </c>
      <c r="F28" s="777"/>
    </row>
    <row r="29" spans="1:6" ht="22.5" x14ac:dyDescent="0.2">
      <c r="A29" s="883" t="s">
        <v>166</v>
      </c>
      <c r="B29" s="906">
        <v>1356251.4479999999</v>
      </c>
      <c r="C29" s="914">
        <v>1247823.3888326341</v>
      </c>
      <c r="D29" s="897">
        <f t="shared" si="1"/>
        <v>0.92005312928715433</v>
      </c>
      <c r="F29" s="777"/>
    </row>
    <row r="30" spans="1:6" ht="22.5" x14ac:dyDescent="0.2">
      <c r="A30" s="883" t="s">
        <v>1099</v>
      </c>
      <c r="B30" s="906">
        <v>1335174.3119999999</v>
      </c>
      <c r="C30" s="914">
        <v>1170585.8529226664</v>
      </c>
      <c r="D30" s="897">
        <f t="shared" si="1"/>
        <v>0.87672886034573916</v>
      </c>
      <c r="F30" s="777"/>
    </row>
    <row r="31" spans="1:6" ht="22.5" x14ac:dyDescent="0.2">
      <c r="A31" s="883" t="s">
        <v>168</v>
      </c>
      <c r="B31" s="906">
        <v>1389729.7339999999</v>
      </c>
      <c r="C31" s="914">
        <v>1294798.109832634</v>
      </c>
      <c r="D31" s="897">
        <f t="shared" si="1"/>
        <v>0.93169058569817864</v>
      </c>
      <c r="F31" s="777"/>
    </row>
    <row r="32" spans="1:6" ht="23.25" thickBot="1" x14ac:dyDescent="0.25">
      <c r="A32" s="887" t="s">
        <v>169</v>
      </c>
      <c r="B32" s="909">
        <v>1416636.0639999998</v>
      </c>
      <c r="C32" s="915">
        <v>1116593.6040000001</v>
      </c>
      <c r="D32" s="898">
        <f t="shared" si="1"/>
        <v>0.78820074709039756</v>
      </c>
      <c r="F32" s="777"/>
    </row>
    <row r="33" spans="1:23" ht="25.5" thickTop="1" thickBot="1" x14ac:dyDescent="0.25">
      <c r="A33" s="862" t="s">
        <v>170</v>
      </c>
      <c r="B33" s="911">
        <f>SUM(B21:B32)</f>
        <v>16892687.598000001</v>
      </c>
      <c r="C33" s="912">
        <f>SUM(C21:C32)</f>
        <v>15358520.29500002</v>
      </c>
      <c r="D33" s="899">
        <f t="shared" si="1"/>
        <v>0.90918157373717035</v>
      </c>
      <c r="F33" s="877"/>
    </row>
    <row r="34" spans="1:23" ht="19.5" thickTop="1" x14ac:dyDescent="0.2">
      <c r="A34" s="873" t="s">
        <v>1053</v>
      </c>
      <c r="B34" s="873"/>
      <c r="C34" s="873"/>
      <c r="D34" s="873"/>
      <c r="E34" s="873"/>
      <c r="F34" s="873"/>
      <c r="G34" s="873"/>
      <c r="H34" s="873"/>
      <c r="I34" s="873"/>
      <c r="J34" s="873"/>
      <c r="K34" s="873"/>
      <c r="L34" s="873"/>
      <c r="M34" s="873"/>
      <c r="N34" s="873"/>
      <c r="O34" s="873"/>
      <c r="P34" s="873"/>
      <c r="Q34" s="873"/>
      <c r="R34" s="873"/>
      <c r="S34" s="873"/>
      <c r="T34" s="873"/>
      <c r="U34" s="873"/>
      <c r="V34" s="873"/>
      <c r="W34" s="873"/>
    </row>
  </sheetData>
  <mergeCells count="2">
    <mergeCell ref="A2:D2"/>
    <mergeCell ref="A18:D18"/>
  </mergeCells>
  <printOptions horizontalCentered="1" verticalCentered="1"/>
  <pageMargins left="0" right="0" top="0" bottom="0" header="0.31496062992125984" footer="0.31496062992125984"/>
  <pageSetup paperSize="9" fitToHeight="2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W13"/>
  <sheetViews>
    <sheetView rightToLeft="1" workbookViewId="0">
      <selection activeCell="G8" sqref="G8"/>
    </sheetView>
  </sheetViews>
  <sheetFormatPr defaultColWidth="10.625" defaultRowHeight="14.25" x14ac:dyDescent="0.2"/>
  <cols>
    <col min="1" max="1" width="20.25" style="875" customWidth="1"/>
    <col min="2" max="2" width="11.5" style="875" customWidth="1"/>
    <col min="3" max="4" width="11.125" style="875" customWidth="1"/>
    <col min="5" max="5" width="12.25" style="875" customWidth="1"/>
    <col min="6" max="6" width="11.25" style="875" customWidth="1"/>
    <col min="7" max="7" width="10.375" style="875" customWidth="1"/>
    <col min="8" max="11" width="11.625" style="875" customWidth="1"/>
    <col min="12" max="16384" width="10.625" style="875"/>
  </cols>
  <sheetData>
    <row r="1" spans="1:23" ht="40.5" customHeight="1" thickBot="1" x14ac:dyDescent="0.25">
      <c r="A1" s="2868" t="s">
        <v>1870</v>
      </c>
      <c r="B1" s="2868"/>
      <c r="C1" s="2868"/>
      <c r="D1" s="2868"/>
      <c r="E1" s="2868"/>
      <c r="F1" s="2868"/>
      <c r="G1" s="2868"/>
      <c r="H1" s="2868"/>
      <c r="I1" s="2868"/>
      <c r="J1" s="2868"/>
      <c r="K1" s="2868"/>
    </row>
    <row r="2" spans="1:23" ht="53.25" customHeight="1" thickTop="1" x14ac:dyDescent="0.2">
      <c r="A2" s="1756" t="s">
        <v>1100</v>
      </c>
      <c r="B2" s="2869" t="s">
        <v>1109</v>
      </c>
      <c r="C2" s="2870"/>
      <c r="D2" s="2869" t="s">
        <v>1110</v>
      </c>
      <c r="E2" s="2870"/>
      <c r="F2" s="2869" t="s">
        <v>1111</v>
      </c>
      <c r="G2" s="2870"/>
      <c r="H2" s="2869" t="s">
        <v>1112</v>
      </c>
      <c r="I2" s="2870"/>
      <c r="J2" s="2871" t="s">
        <v>1113</v>
      </c>
      <c r="K2" s="2870"/>
    </row>
    <row r="3" spans="1:23" ht="32.25" customHeight="1" thickBot="1" x14ac:dyDescent="0.25">
      <c r="A3" s="1757"/>
      <c r="B3" s="1758" t="s">
        <v>1114</v>
      </c>
      <c r="C3" s="1759" t="s">
        <v>1115</v>
      </c>
      <c r="D3" s="1758" t="s">
        <v>1114</v>
      </c>
      <c r="E3" s="1759" t="s">
        <v>1115</v>
      </c>
      <c r="F3" s="1758" t="s">
        <v>1114</v>
      </c>
      <c r="G3" s="1759" t="s">
        <v>1115</v>
      </c>
      <c r="H3" s="1758" t="s">
        <v>1114</v>
      </c>
      <c r="I3" s="1759" t="s">
        <v>1115</v>
      </c>
      <c r="J3" s="1760" t="s">
        <v>1114</v>
      </c>
      <c r="K3" s="1759" t="s">
        <v>1115</v>
      </c>
    </row>
    <row r="4" spans="1:23" ht="32.25" customHeight="1" thickTop="1" x14ac:dyDescent="0.2">
      <c r="A4" s="1761" t="s">
        <v>94</v>
      </c>
      <c r="B4" s="1762">
        <v>7.0095873913497044</v>
      </c>
      <c r="C4" s="1763">
        <v>7.3309100998889347</v>
      </c>
      <c r="D4" s="1762">
        <v>7.37374594198337</v>
      </c>
      <c r="E4" s="1763">
        <v>7.7164076951534843</v>
      </c>
      <c r="F4" s="1764">
        <v>21.84951303801445</v>
      </c>
      <c r="G4" s="1765">
        <v>23.129855715871255</v>
      </c>
      <c r="H4" s="1764">
        <v>76.44181998670048</v>
      </c>
      <c r="I4" s="1765">
        <v>76.478858082331797</v>
      </c>
      <c r="J4" s="1766">
        <v>73.052085404488722</v>
      </c>
      <c r="K4" s="1765">
        <v>73.172560997937012</v>
      </c>
      <c r="L4" s="916"/>
    </row>
    <row r="5" spans="1:23" ht="32.25" customHeight="1" x14ac:dyDescent="0.2">
      <c r="A5" s="1767" t="s">
        <v>99</v>
      </c>
      <c r="B5" s="1768">
        <v>9.8467718390226846</v>
      </c>
      <c r="C5" s="1769">
        <v>9.883983969824838</v>
      </c>
      <c r="D5" s="1768">
        <v>10.431437244948448</v>
      </c>
      <c r="E5" s="1769">
        <v>10.419712399811088</v>
      </c>
      <c r="F5" s="1770">
        <v>35.079924355529016</v>
      </c>
      <c r="G5" s="1771">
        <v>32.143705799151341</v>
      </c>
      <c r="H5" s="1770">
        <v>93.584007211121687</v>
      </c>
      <c r="I5" s="1771">
        <v>93.048931244925782</v>
      </c>
      <c r="J5" s="1772">
        <v>88.717449284208655</v>
      </c>
      <c r="K5" s="1771">
        <v>88.591667477703965</v>
      </c>
      <c r="L5" s="916"/>
    </row>
    <row r="6" spans="1:23" ht="32.25" customHeight="1" x14ac:dyDescent="0.2">
      <c r="A6" s="1767" t="s">
        <v>1077</v>
      </c>
      <c r="B6" s="1768">
        <v>14.326896551724358</v>
      </c>
      <c r="C6" s="1769">
        <v>14.345014245014294</v>
      </c>
      <c r="D6" s="1768">
        <v>15.499540229885049</v>
      </c>
      <c r="E6" s="1769">
        <v>15.444688644688631</v>
      </c>
      <c r="F6" s="1770">
        <v>70.358620689655169</v>
      </c>
      <c r="G6" s="1771">
        <v>65.980463980463981</v>
      </c>
      <c r="H6" s="1770">
        <v>61.116152138140393</v>
      </c>
      <c r="I6" s="1771">
        <v>61.24664071318012</v>
      </c>
      <c r="J6" s="1772">
        <v>56.671626161074052</v>
      </c>
      <c r="K6" s="1771">
        <v>57.069061279728032</v>
      </c>
      <c r="L6" s="916"/>
    </row>
    <row r="7" spans="1:23" ht="32.25" customHeight="1" x14ac:dyDescent="0.2">
      <c r="A7" s="1767" t="s">
        <v>96</v>
      </c>
      <c r="B7" s="1768">
        <v>15.479261796042421</v>
      </c>
      <c r="C7" s="1769">
        <v>16.243903993202846</v>
      </c>
      <c r="D7" s="1768">
        <v>17.492092846270868</v>
      </c>
      <c r="E7" s="1769">
        <v>17.903171905975523</v>
      </c>
      <c r="F7" s="1770">
        <v>120.76986301369863</v>
      </c>
      <c r="G7" s="1771">
        <v>99.556074766355138</v>
      </c>
      <c r="H7" s="1770">
        <v>77.962405171104876</v>
      </c>
      <c r="I7" s="1771">
        <v>78.244941180144508</v>
      </c>
      <c r="J7" s="1772">
        <v>69.11613923388181</v>
      </c>
      <c r="K7" s="1771">
        <v>70.890874256934836</v>
      </c>
      <c r="L7" s="916"/>
    </row>
    <row r="8" spans="1:23" ht="32.25" customHeight="1" x14ac:dyDescent="0.2">
      <c r="A8" s="1767" t="s">
        <v>1078</v>
      </c>
      <c r="B8" s="1768">
        <v>8.8839032258065664</v>
      </c>
      <c r="C8" s="1769">
        <v>8.7067796610168529</v>
      </c>
      <c r="D8" s="1768">
        <v>9.5194516129032252</v>
      </c>
      <c r="E8" s="1769">
        <v>9.1763619854721377</v>
      </c>
      <c r="F8" s="1770">
        <v>38.132903225806452</v>
      </c>
      <c r="G8" s="1771">
        <v>28.174939467312349</v>
      </c>
      <c r="H8" s="1770">
        <v>62.471262555536839</v>
      </c>
      <c r="I8" s="1771">
        <v>62.050412070075879</v>
      </c>
      <c r="J8" s="1772">
        <v>58.766123480317866</v>
      </c>
      <c r="K8" s="1771">
        <v>59.209379493171596</v>
      </c>
      <c r="L8" s="916"/>
    </row>
    <row r="9" spans="1:23" ht="32.25" customHeight="1" thickBot="1" x14ac:dyDescent="0.25">
      <c r="A9" s="1773" t="s">
        <v>1079</v>
      </c>
      <c r="B9" s="1774">
        <v>14.40164026751142</v>
      </c>
      <c r="C9" s="1775">
        <v>14.648686186186607</v>
      </c>
      <c r="D9" s="1774">
        <v>15.571073565645833</v>
      </c>
      <c r="E9" s="1775">
        <v>15.591008053507991</v>
      </c>
      <c r="F9" s="1776">
        <v>70.165997888067579</v>
      </c>
      <c r="G9" s="1777">
        <v>56.539312039312037</v>
      </c>
      <c r="H9" s="1776">
        <v>77.370107590028155</v>
      </c>
      <c r="I9" s="1777">
        <v>76.266529201124854</v>
      </c>
      <c r="J9" s="1778">
        <v>71.883031341763441</v>
      </c>
      <c r="K9" s="1777">
        <v>72.14492036499378</v>
      </c>
      <c r="L9" s="916"/>
    </row>
    <row r="10" spans="1:23" ht="32.25" customHeight="1" thickTop="1" thickBot="1" x14ac:dyDescent="0.25">
      <c r="A10" s="1779" t="s">
        <v>1116</v>
      </c>
      <c r="B10" s="1780">
        <v>11.137008565463363</v>
      </c>
      <c r="C10" s="1781">
        <v>10.650449332365023</v>
      </c>
      <c r="D10" s="1780">
        <v>11.986244151731006</v>
      </c>
      <c r="E10" s="1781">
        <v>11.343769172999536</v>
      </c>
      <c r="F10" s="1782">
        <v>50.954135175987908</v>
      </c>
      <c r="G10" s="1783">
        <v>44.037595504709543</v>
      </c>
      <c r="H10" s="1782">
        <v>82.318585091437896</v>
      </c>
      <c r="I10" s="1783">
        <v>81.736561376272888</v>
      </c>
      <c r="J10" s="1784">
        <v>77.255920900644298</v>
      </c>
      <c r="K10" s="1783">
        <v>77.36404858309298</v>
      </c>
      <c r="L10" s="916"/>
    </row>
    <row r="11" spans="1:23" ht="19.5" thickTop="1" x14ac:dyDescent="0.2">
      <c r="A11" s="873" t="s">
        <v>1053</v>
      </c>
      <c r="B11" s="873"/>
      <c r="C11" s="873"/>
      <c r="D11" s="873"/>
      <c r="E11" s="873"/>
      <c r="F11" s="873"/>
      <c r="G11" s="873"/>
      <c r="H11" s="873"/>
      <c r="I11" s="873"/>
      <c r="J11" s="873"/>
      <c r="K11" s="873"/>
      <c r="L11" s="873"/>
      <c r="M11" s="873"/>
      <c r="N11" s="873"/>
      <c r="O11" s="873"/>
      <c r="P11" s="873"/>
      <c r="Q11" s="873"/>
      <c r="R11" s="873"/>
      <c r="S11" s="873"/>
      <c r="T11" s="873"/>
      <c r="U11" s="873"/>
      <c r="V11" s="873"/>
      <c r="W11" s="873"/>
    </row>
    <row r="12" spans="1:23" ht="0.75" customHeight="1" x14ac:dyDescent="0.2"/>
    <row r="13" spans="1:23" ht="17.25" x14ac:dyDescent="0.4">
      <c r="A13" s="917"/>
      <c r="B13" s="918"/>
      <c r="C13" s="918"/>
      <c r="D13" s="918"/>
      <c r="E13" s="918"/>
      <c r="F13" s="918"/>
      <c r="G13" s="918"/>
      <c r="H13" s="918"/>
      <c r="I13" s="918"/>
      <c r="J13" s="918"/>
      <c r="K13" s="918"/>
      <c r="L13" s="919"/>
      <c r="M13" s="919"/>
    </row>
  </sheetData>
  <mergeCells count="6">
    <mergeCell ref="A1:K1"/>
    <mergeCell ref="B2:C2"/>
    <mergeCell ref="D2:E2"/>
    <mergeCell ref="F2:G2"/>
    <mergeCell ref="H2:I2"/>
    <mergeCell ref="J2:K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/>
  </sheetPr>
  <dimension ref="A2:X11"/>
  <sheetViews>
    <sheetView rightToLeft="1" workbookViewId="0">
      <selection activeCell="C20" sqref="C20"/>
    </sheetView>
  </sheetViews>
  <sheetFormatPr defaultColWidth="9.125" defaultRowHeight="18" x14ac:dyDescent="0.5"/>
  <cols>
    <col min="1" max="1" width="5.375" style="923" customWidth="1"/>
    <col min="2" max="2" width="1.875" style="923" customWidth="1"/>
    <col min="3" max="3" width="9.125" style="923"/>
    <col min="4" max="9" width="9.125" style="923" customWidth="1"/>
    <col min="10" max="13" width="9.125" style="923"/>
    <col min="14" max="14" width="5.5" style="923" customWidth="1"/>
    <col min="15" max="15" width="3.5" style="923" customWidth="1"/>
    <col min="16" max="16" width="8" style="923" customWidth="1"/>
    <col min="17" max="17" width="4.75" style="923" customWidth="1"/>
    <col min="18" max="18" width="2.5" style="923" customWidth="1"/>
    <col min="19" max="19" width="0.25" style="923" customWidth="1"/>
    <col min="20" max="20" width="0.875" style="923" customWidth="1"/>
    <col min="21" max="16384" width="9.125" style="923"/>
  </cols>
  <sheetData>
    <row r="2" spans="1:24" ht="40.5" customHeight="1" x14ac:dyDescent="0.55000000000000004">
      <c r="A2" s="920"/>
      <c r="B2" s="921"/>
      <c r="C2" s="2875" t="s">
        <v>1117</v>
      </c>
      <c r="D2" s="2875"/>
      <c r="E2" s="2875"/>
      <c r="F2" s="2875"/>
      <c r="G2" s="2875"/>
      <c r="H2" s="2875"/>
      <c r="I2" s="2875"/>
      <c r="J2" s="2875"/>
      <c r="K2" s="2875"/>
      <c r="L2" s="2875"/>
      <c r="M2" s="922"/>
      <c r="N2" s="922"/>
      <c r="O2" s="922"/>
      <c r="P2" s="922"/>
      <c r="Q2" s="922"/>
      <c r="R2" s="922"/>
      <c r="S2" s="922"/>
    </row>
    <row r="3" spans="1:24" ht="33" x14ac:dyDescent="0.55000000000000004">
      <c r="A3" s="920"/>
      <c r="B3" s="921"/>
      <c r="C3" s="924"/>
      <c r="D3" s="924"/>
      <c r="E3" s="924"/>
      <c r="F3" s="924"/>
      <c r="G3" s="924"/>
      <c r="H3" s="924"/>
      <c r="I3" s="924"/>
      <c r="J3" s="924"/>
      <c r="K3" s="924"/>
      <c r="L3" s="924"/>
      <c r="M3" s="922"/>
      <c r="N3" s="922"/>
      <c r="O3" s="922"/>
      <c r="P3" s="922"/>
      <c r="Q3" s="922"/>
      <c r="R3" s="922"/>
      <c r="S3" s="922"/>
    </row>
    <row r="4" spans="1:24" s="926" customFormat="1" ht="36" customHeight="1" x14ac:dyDescent="0.55000000000000004">
      <c r="A4" s="2876" t="s">
        <v>1118</v>
      </c>
      <c r="B4" s="2876"/>
      <c r="C4" s="2876"/>
      <c r="D4" s="2876"/>
      <c r="E4" s="2876"/>
      <c r="F4" s="2876"/>
      <c r="G4" s="2876"/>
      <c r="H4" s="2876"/>
      <c r="I4" s="2876"/>
      <c r="J4" s="2876"/>
      <c r="K4" s="2876"/>
      <c r="L4" s="2876"/>
      <c r="M4" s="2876"/>
      <c r="N4" s="925"/>
      <c r="O4" s="925"/>
      <c r="P4" s="925"/>
      <c r="Q4" s="925"/>
      <c r="R4" s="925"/>
      <c r="S4" s="925"/>
      <c r="T4" s="925"/>
      <c r="U4" s="925"/>
      <c r="V4" s="925"/>
      <c r="W4" s="925"/>
      <c r="X4" s="925"/>
    </row>
    <row r="5" spans="1:24" s="926" customFormat="1" ht="36" customHeight="1" x14ac:dyDescent="0.55000000000000004">
      <c r="A5" s="2877" t="s">
        <v>1119</v>
      </c>
      <c r="B5" s="2877"/>
      <c r="C5" s="2877"/>
      <c r="D5" s="2877"/>
      <c r="E5" s="2877"/>
      <c r="F5" s="2877"/>
      <c r="G5" s="2877"/>
      <c r="H5" s="2877"/>
      <c r="I5" s="2877"/>
      <c r="J5" s="2877"/>
      <c r="K5" s="2877"/>
      <c r="L5" s="2877"/>
      <c r="M5" s="2877"/>
      <c r="N5" s="925"/>
      <c r="O5" s="925"/>
      <c r="P5" s="925"/>
      <c r="Q5" s="925"/>
      <c r="R5" s="925"/>
      <c r="S5" s="925"/>
      <c r="T5" s="925"/>
      <c r="U5" s="925"/>
      <c r="V5" s="925"/>
      <c r="W5" s="925"/>
      <c r="X5" s="925"/>
    </row>
    <row r="6" spans="1:24" s="926" customFormat="1" ht="32.25" customHeight="1" x14ac:dyDescent="0.75">
      <c r="A6" s="2876" t="s">
        <v>1120</v>
      </c>
      <c r="B6" s="2876"/>
      <c r="C6" s="2876"/>
      <c r="D6" s="2876"/>
      <c r="E6" s="2876"/>
      <c r="F6" s="2876"/>
      <c r="G6" s="2876"/>
      <c r="H6" s="2876"/>
      <c r="I6" s="2876"/>
      <c r="J6" s="2876"/>
      <c r="K6" s="2876"/>
      <c r="L6" s="2876"/>
      <c r="M6" s="2876"/>
      <c r="N6" s="927"/>
      <c r="O6" s="927"/>
      <c r="P6" s="927"/>
      <c r="Q6" s="927"/>
      <c r="R6" s="927"/>
    </row>
    <row r="7" spans="1:24" ht="44.25" customHeight="1" x14ac:dyDescent="0.75">
      <c r="A7" s="2878"/>
      <c r="B7" s="2878"/>
      <c r="C7" s="2878"/>
      <c r="D7" s="2878"/>
      <c r="E7" s="2878"/>
      <c r="F7" s="2878"/>
      <c r="G7" s="2878"/>
      <c r="H7" s="2878"/>
      <c r="I7" s="2878"/>
      <c r="J7" s="2878"/>
      <c r="K7" s="2878"/>
      <c r="L7" s="2878"/>
      <c r="M7" s="2878"/>
      <c r="N7" s="928"/>
      <c r="O7" s="928"/>
      <c r="P7" s="928"/>
      <c r="Q7" s="928"/>
      <c r="R7" s="928"/>
      <c r="S7" s="928"/>
    </row>
    <row r="8" spans="1:24" ht="33" x14ac:dyDescent="0.5">
      <c r="C8" s="2875" t="s">
        <v>1121</v>
      </c>
      <c r="D8" s="2875"/>
      <c r="E8" s="2875"/>
      <c r="F8" s="2875"/>
      <c r="G8" s="2875"/>
      <c r="H8" s="2875"/>
      <c r="I8" s="2875"/>
      <c r="J8" s="2875"/>
      <c r="K8" s="2875"/>
      <c r="L8" s="2875"/>
    </row>
    <row r="9" spans="1:24" ht="33" x14ac:dyDescent="0.5">
      <c r="C9" s="924"/>
      <c r="D9" s="924"/>
      <c r="E9" s="924"/>
      <c r="F9" s="924"/>
      <c r="G9" s="924"/>
      <c r="H9" s="924"/>
      <c r="I9" s="924"/>
      <c r="J9" s="924"/>
      <c r="K9" s="924"/>
      <c r="L9" s="924"/>
    </row>
    <row r="10" spans="1:24" ht="63.75" customHeight="1" x14ac:dyDescent="0.75">
      <c r="A10" s="2872" t="s">
        <v>1122</v>
      </c>
      <c r="B10" s="2873"/>
      <c r="C10" s="2873"/>
      <c r="D10" s="2873"/>
      <c r="E10" s="2873"/>
      <c r="F10" s="2873"/>
      <c r="G10" s="2873"/>
      <c r="H10" s="2873"/>
      <c r="I10" s="2873"/>
      <c r="J10" s="2873"/>
      <c r="K10" s="2873"/>
      <c r="L10" s="2873"/>
      <c r="M10" s="2873"/>
    </row>
    <row r="11" spans="1:24" s="926" customFormat="1" ht="27" x14ac:dyDescent="0.75">
      <c r="A11" s="2874" t="s">
        <v>1123</v>
      </c>
      <c r="B11" s="2874"/>
      <c r="C11" s="2874"/>
      <c r="D11" s="2874"/>
      <c r="E11" s="2874"/>
      <c r="F11" s="2874"/>
      <c r="G11" s="2874"/>
      <c r="H11" s="2874"/>
      <c r="I11" s="2874"/>
      <c r="J11" s="2874"/>
      <c r="K11" s="2874"/>
      <c r="L11" s="2874"/>
      <c r="M11" s="2874"/>
      <c r="N11" s="929"/>
    </row>
  </sheetData>
  <mergeCells count="8">
    <mergeCell ref="A10:M10"/>
    <mergeCell ref="A11:M11"/>
    <mergeCell ref="C2:L2"/>
    <mergeCell ref="A4:M4"/>
    <mergeCell ref="A5:M5"/>
    <mergeCell ref="A6:M6"/>
    <mergeCell ref="A7:M7"/>
    <mergeCell ref="C8:L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Z18"/>
  <sheetViews>
    <sheetView rightToLeft="1" zoomScale="70" zoomScaleNormal="70" workbookViewId="0">
      <selection activeCell="A2" sqref="A2"/>
    </sheetView>
  </sheetViews>
  <sheetFormatPr defaultColWidth="9.125" defaultRowHeight="12.75" x14ac:dyDescent="0.2"/>
  <cols>
    <col min="1" max="1" width="25.25" style="1194" bestFit="1" customWidth="1"/>
    <col min="2" max="11" width="9" style="1194" customWidth="1"/>
    <col min="12" max="12" width="11" style="1194" bestFit="1" customWidth="1"/>
    <col min="13" max="23" width="9" style="1194" customWidth="1"/>
    <col min="24" max="24" width="18.625" style="1194" bestFit="1" customWidth="1"/>
    <col min="25" max="16384" width="9.125" style="1194"/>
  </cols>
  <sheetData>
    <row r="1" spans="1:26" ht="34.5" thickBot="1" x14ac:dyDescent="0.25">
      <c r="A1" s="2879" t="s">
        <v>1871</v>
      </c>
      <c r="B1" s="2879"/>
      <c r="C1" s="2879"/>
      <c r="D1" s="2879"/>
      <c r="E1" s="2879"/>
      <c r="F1" s="2879"/>
      <c r="G1" s="2879"/>
      <c r="H1" s="2879"/>
      <c r="I1" s="2879"/>
      <c r="J1" s="2879"/>
      <c r="K1" s="2879"/>
      <c r="L1" s="2879"/>
      <c r="M1" s="2879"/>
      <c r="N1" s="2879"/>
      <c r="O1" s="2879"/>
      <c r="P1" s="2879"/>
      <c r="Q1" s="2879"/>
      <c r="R1" s="2879"/>
      <c r="S1" s="2879"/>
      <c r="T1" s="2879"/>
      <c r="U1" s="2879"/>
      <c r="V1" s="2879"/>
      <c r="W1" s="2879"/>
      <c r="X1" s="2879"/>
    </row>
    <row r="2" spans="1:26" ht="36" customHeight="1" thickBot="1" x14ac:dyDescent="0.25">
      <c r="A2" s="1195" t="s">
        <v>118</v>
      </c>
      <c r="B2" s="1196" t="s">
        <v>119</v>
      </c>
      <c r="C2" s="1197" t="s">
        <v>929</v>
      </c>
      <c r="D2" s="1198" t="s">
        <v>113</v>
      </c>
      <c r="E2" s="1198" t="s">
        <v>928</v>
      </c>
      <c r="F2" s="1198" t="s">
        <v>198</v>
      </c>
      <c r="G2" s="1198" t="s">
        <v>1467</v>
      </c>
      <c r="H2" s="1198" t="s">
        <v>1468</v>
      </c>
      <c r="I2" s="1198" t="s">
        <v>931</v>
      </c>
      <c r="J2" s="1198" t="s">
        <v>932</v>
      </c>
      <c r="K2" s="1198" t="s">
        <v>1469</v>
      </c>
      <c r="L2" s="1198" t="s">
        <v>590</v>
      </c>
      <c r="M2" s="1198" t="s">
        <v>930</v>
      </c>
      <c r="N2" s="1198" t="s">
        <v>1470</v>
      </c>
      <c r="O2" s="1198" t="s">
        <v>934</v>
      </c>
      <c r="P2" s="1198" t="s">
        <v>933</v>
      </c>
      <c r="Q2" s="1198" t="s">
        <v>111</v>
      </c>
      <c r="R2" s="1198" t="s">
        <v>202</v>
      </c>
      <c r="S2" s="1198" t="s">
        <v>212</v>
      </c>
      <c r="T2" s="1198" t="s">
        <v>104</v>
      </c>
      <c r="U2" s="1198" t="s">
        <v>108</v>
      </c>
      <c r="V2" s="1198" t="s">
        <v>109</v>
      </c>
      <c r="W2" s="1198" t="s">
        <v>96</v>
      </c>
      <c r="X2" s="1199" t="s">
        <v>529</v>
      </c>
    </row>
    <row r="3" spans="1:26" ht="36" customHeight="1" x14ac:dyDescent="0.9">
      <c r="A3" s="1200" t="s">
        <v>1471</v>
      </c>
      <c r="B3" s="1201" t="s">
        <v>1472</v>
      </c>
      <c r="C3" s="1202">
        <v>0</v>
      </c>
      <c r="D3" s="1202">
        <v>0</v>
      </c>
      <c r="E3" s="1202">
        <v>13176</v>
      </c>
      <c r="F3" s="1202">
        <v>1545</v>
      </c>
      <c r="G3" s="1202">
        <v>1307</v>
      </c>
      <c r="H3" s="1202">
        <v>9000</v>
      </c>
      <c r="I3" s="1202">
        <v>40</v>
      </c>
      <c r="J3" s="1202">
        <v>5051</v>
      </c>
      <c r="K3" s="1202">
        <v>3270</v>
      </c>
      <c r="L3" s="1202">
        <v>0</v>
      </c>
      <c r="M3" s="1202">
        <v>4300</v>
      </c>
      <c r="N3" s="1202">
        <v>15000</v>
      </c>
      <c r="O3" s="1202">
        <v>0</v>
      </c>
      <c r="P3" s="1202">
        <v>5833</v>
      </c>
      <c r="Q3" s="1202">
        <v>5231</v>
      </c>
      <c r="R3" s="1202">
        <v>28028</v>
      </c>
      <c r="S3" s="1202">
        <v>120</v>
      </c>
      <c r="T3" s="1202">
        <v>0</v>
      </c>
      <c r="U3" s="1202">
        <v>16450</v>
      </c>
      <c r="V3" s="1202">
        <v>0</v>
      </c>
      <c r="W3" s="1202">
        <v>3880</v>
      </c>
      <c r="X3" s="1203">
        <f>SUM(C3:W3)</f>
        <v>112231</v>
      </c>
    </row>
    <row r="4" spans="1:26" ht="36" customHeight="1" x14ac:dyDescent="0.9">
      <c r="A4" s="1204" t="s">
        <v>1473</v>
      </c>
      <c r="B4" s="1201" t="s">
        <v>1474</v>
      </c>
      <c r="C4" s="1205">
        <v>0</v>
      </c>
      <c r="D4" s="1205">
        <v>101.3</v>
      </c>
      <c r="E4" s="1205">
        <v>384.50200000000001</v>
      </c>
      <c r="F4" s="1205">
        <v>202.17</v>
      </c>
      <c r="G4" s="1205">
        <v>259.39999999999998</v>
      </c>
      <c r="H4" s="1205">
        <v>366.8</v>
      </c>
      <c r="I4" s="1205">
        <v>259.14999999999998</v>
      </c>
      <c r="J4" s="1205">
        <v>575.4</v>
      </c>
      <c r="K4" s="1205">
        <v>337.7</v>
      </c>
      <c r="L4" s="1205">
        <v>0</v>
      </c>
      <c r="M4" s="1205">
        <v>263.10000000000002</v>
      </c>
      <c r="N4" s="1205">
        <v>319.2</v>
      </c>
      <c r="O4" s="1205">
        <v>0</v>
      </c>
      <c r="P4" s="1205">
        <v>431.8</v>
      </c>
      <c r="Q4" s="1205">
        <v>259.94</v>
      </c>
      <c r="R4" s="1205">
        <v>437.3</v>
      </c>
      <c r="S4" s="1205">
        <v>127.45</v>
      </c>
      <c r="T4" s="1205">
        <v>213.1</v>
      </c>
      <c r="U4" s="1205">
        <v>282.2</v>
      </c>
      <c r="V4" s="1205">
        <v>0</v>
      </c>
      <c r="W4" s="1205">
        <v>183.35</v>
      </c>
      <c r="X4" s="1206">
        <v>5003.8620000000001</v>
      </c>
    </row>
    <row r="5" spans="1:26" ht="36" customHeight="1" x14ac:dyDescent="0.9">
      <c r="A5" s="1204" t="s">
        <v>1475</v>
      </c>
      <c r="B5" s="1201" t="s">
        <v>1476</v>
      </c>
      <c r="C5" s="1202">
        <v>5580</v>
      </c>
      <c r="D5" s="1207">
        <v>12300</v>
      </c>
      <c r="E5" s="1208">
        <v>26800</v>
      </c>
      <c r="F5" s="1205">
        <v>15075</v>
      </c>
      <c r="G5" s="1205">
        <v>4833</v>
      </c>
      <c r="H5" s="1202">
        <v>326</v>
      </c>
      <c r="I5" s="1205">
        <v>13730</v>
      </c>
      <c r="J5" s="1202">
        <v>19575</v>
      </c>
      <c r="K5" s="1202">
        <v>24408</v>
      </c>
      <c r="L5" s="1202">
        <v>8000</v>
      </c>
      <c r="M5" s="1202">
        <v>13125</v>
      </c>
      <c r="N5" s="1202">
        <v>29000</v>
      </c>
      <c r="O5" s="1202">
        <v>1300</v>
      </c>
      <c r="P5" s="1202">
        <v>11880</v>
      </c>
      <c r="Q5" s="1202">
        <v>8375</v>
      </c>
      <c r="R5" s="1202">
        <v>17424</v>
      </c>
      <c r="S5" s="1202">
        <v>5845</v>
      </c>
      <c r="T5" s="1202">
        <v>7603</v>
      </c>
      <c r="U5" s="1202">
        <v>18009</v>
      </c>
      <c r="V5" s="1202">
        <v>0</v>
      </c>
      <c r="W5" s="1202">
        <v>6480</v>
      </c>
      <c r="X5" s="1209">
        <f t="shared" ref="X5:X16" si="0">SUM(C5:W5)</f>
        <v>249668</v>
      </c>
    </row>
    <row r="6" spans="1:26" ht="36" customHeight="1" x14ac:dyDescent="0.9">
      <c r="A6" s="1204" t="s">
        <v>1477</v>
      </c>
      <c r="B6" s="1201" t="s">
        <v>1478</v>
      </c>
      <c r="C6" s="1202">
        <v>2993</v>
      </c>
      <c r="D6" s="1210">
        <v>552</v>
      </c>
      <c r="E6" s="1202">
        <v>2373</v>
      </c>
      <c r="F6" s="1205">
        <v>805</v>
      </c>
      <c r="G6" s="1205">
        <v>3487</v>
      </c>
      <c r="H6" s="1202">
        <v>12569</v>
      </c>
      <c r="I6" s="1205">
        <v>927</v>
      </c>
      <c r="J6" s="1202">
        <v>3421</v>
      </c>
      <c r="K6" s="1202">
        <v>1566</v>
      </c>
      <c r="L6" s="1202">
        <v>1950</v>
      </c>
      <c r="M6" s="1202">
        <v>1434</v>
      </c>
      <c r="N6" s="1202">
        <v>870</v>
      </c>
      <c r="O6" s="1202">
        <v>2305</v>
      </c>
      <c r="P6" s="1202">
        <v>13908</v>
      </c>
      <c r="Q6" s="1202">
        <v>3799</v>
      </c>
      <c r="R6" s="1202">
        <v>1309</v>
      </c>
      <c r="S6" s="1202">
        <v>9090</v>
      </c>
      <c r="T6" s="1202">
        <v>23</v>
      </c>
      <c r="U6" s="1202">
        <v>1680</v>
      </c>
      <c r="V6" s="1202">
        <v>17</v>
      </c>
      <c r="W6" s="1202">
        <v>1478</v>
      </c>
      <c r="X6" s="1209">
        <f t="shared" si="0"/>
        <v>66556</v>
      </c>
    </row>
    <row r="7" spans="1:26" ht="36" customHeight="1" x14ac:dyDescent="0.9">
      <c r="A7" s="1204" t="s">
        <v>1479</v>
      </c>
      <c r="B7" s="1201" t="s">
        <v>1480</v>
      </c>
      <c r="C7" s="1202">
        <v>1450</v>
      </c>
      <c r="D7" s="1210">
        <v>30</v>
      </c>
      <c r="E7" s="1202">
        <v>25</v>
      </c>
      <c r="F7" s="1205">
        <v>400</v>
      </c>
      <c r="G7" s="1205">
        <v>0</v>
      </c>
      <c r="H7" s="1202">
        <v>0</v>
      </c>
      <c r="I7" s="1205">
        <v>48</v>
      </c>
      <c r="J7" s="1202">
        <v>5152</v>
      </c>
      <c r="K7" s="1202">
        <v>28450</v>
      </c>
      <c r="L7" s="1202">
        <v>390</v>
      </c>
      <c r="M7" s="1202">
        <v>7110</v>
      </c>
      <c r="N7" s="1202">
        <v>0</v>
      </c>
      <c r="O7" s="1202">
        <v>200</v>
      </c>
      <c r="P7" s="1202">
        <v>45026</v>
      </c>
      <c r="Q7" s="1202">
        <v>0</v>
      </c>
      <c r="R7" s="1202">
        <v>51060</v>
      </c>
      <c r="S7" s="1202">
        <v>8400</v>
      </c>
      <c r="T7" s="1202">
        <v>510</v>
      </c>
      <c r="U7" s="1202">
        <v>150</v>
      </c>
      <c r="V7" s="1202">
        <v>700</v>
      </c>
      <c r="W7" s="1202">
        <v>10350</v>
      </c>
      <c r="X7" s="1209">
        <f t="shared" si="0"/>
        <v>159451</v>
      </c>
    </row>
    <row r="8" spans="1:26" ht="36" customHeight="1" x14ac:dyDescent="0.9">
      <c r="A8" s="1204" t="s">
        <v>1481</v>
      </c>
      <c r="B8" s="1201" t="s">
        <v>1476</v>
      </c>
      <c r="C8" s="1202">
        <v>290</v>
      </c>
      <c r="D8" s="1210">
        <v>6646</v>
      </c>
      <c r="E8" s="1202">
        <v>18204</v>
      </c>
      <c r="F8" s="1205">
        <v>600</v>
      </c>
      <c r="G8" s="1205">
        <v>3150</v>
      </c>
      <c r="H8" s="1202">
        <v>0</v>
      </c>
      <c r="I8" s="1205">
        <v>15208</v>
      </c>
      <c r="J8" s="1202">
        <v>16894</v>
      </c>
      <c r="K8" s="1202">
        <v>0</v>
      </c>
      <c r="L8" s="1202">
        <v>950</v>
      </c>
      <c r="M8" s="1202">
        <v>7410</v>
      </c>
      <c r="N8" s="1202">
        <v>0</v>
      </c>
      <c r="O8" s="1202">
        <v>20000</v>
      </c>
      <c r="P8" s="1202">
        <v>9900</v>
      </c>
      <c r="Q8" s="1202">
        <v>1497</v>
      </c>
      <c r="R8" s="1202">
        <v>4600</v>
      </c>
      <c r="S8" s="1202">
        <v>1300</v>
      </c>
      <c r="T8" s="1202">
        <v>3588</v>
      </c>
      <c r="U8" s="1202">
        <v>500</v>
      </c>
      <c r="V8" s="1202">
        <v>5000</v>
      </c>
      <c r="W8" s="1202">
        <v>32800</v>
      </c>
      <c r="X8" s="1209">
        <f t="shared" si="0"/>
        <v>148537</v>
      </c>
    </row>
    <row r="9" spans="1:26" ht="36" customHeight="1" x14ac:dyDescent="0.9">
      <c r="A9" s="1204" t="s">
        <v>1482</v>
      </c>
      <c r="B9" s="1201" t="s">
        <v>127</v>
      </c>
      <c r="C9" s="1211">
        <v>3</v>
      </c>
      <c r="D9" s="1212">
        <v>1</v>
      </c>
      <c r="E9" s="1211">
        <v>1</v>
      </c>
      <c r="F9" s="1213">
        <v>9</v>
      </c>
      <c r="G9" s="1213">
        <v>7</v>
      </c>
      <c r="H9" s="1211">
        <v>16</v>
      </c>
      <c r="I9" s="1213">
        <v>3</v>
      </c>
      <c r="J9" s="1211">
        <v>2</v>
      </c>
      <c r="K9" s="1211">
        <v>1</v>
      </c>
      <c r="L9" s="1202">
        <v>5</v>
      </c>
      <c r="M9" s="1214">
        <v>1</v>
      </c>
      <c r="N9" s="1202">
        <v>0</v>
      </c>
      <c r="O9" s="1211">
        <v>1</v>
      </c>
      <c r="P9" s="1214">
        <v>1</v>
      </c>
      <c r="Q9" s="1214">
        <v>10</v>
      </c>
      <c r="R9" s="1214">
        <v>7</v>
      </c>
      <c r="S9" s="1214">
        <v>13</v>
      </c>
      <c r="T9" s="1214">
        <v>1</v>
      </c>
      <c r="U9" s="1214">
        <v>6</v>
      </c>
      <c r="V9" s="1214">
        <v>0</v>
      </c>
      <c r="W9" s="1214">
        <v>10</v>
      </c>
      <c r="X9" s="1215">
        <f t="shared" si="0"/>
        <v>98</v>
      </c>
    </row>
    <row r="10" spans="1:26" ht="36" customHeight="1" x14ac:dyDescent="0.9">
      <c r="A10" s="1204" t="s">
        <v>1483</v>
      </c>
      <c r="B10" s="1201" t="s">
        <v>127</v>
      </c>
      <c r="C10" s="1202">
        <v>548</v>
      </c>
      <c r="D10" s="1210">
        <v>2585</v>
      </c>
      <c r="E10" s="1202">
        <v>240</v>
      </c>
      <c r="F10" s="1205">
        <v>100</v>
      </c>
      <c r="G10" s="1205">
        <v>213</v>
      </c>
      <c r="H10" s="1202">
        <v>674</v>
      </c>
      <c r="I10" s="1205">
        <v>2098</v>
      </c>
      <c r="J10" s="1202">
        <v>2407</v>
      </c>
      <c r="K10" s="1202">
        <v>2478</v>
      </c>
      <c r="L10" s="1202">
        <v>111</v>
      </c>
      <c r="M10" s="1202">
        <v>1458</v>
      </c>
      <c r="N10" s="1202">
        <v>2300</v>
      </c>
      <c r="O10" s="1202">
        <v>143</v>
      </c>
      <c r="P10" s="1202">
        <v>2548</v>
      </c>
      <c r="Q10" s="1202">
        <v>158</v>
      </c>
      <c r="R10" s="1202">
        <v>43</v>
      </c>
      <c r="S10" s="1202">
        <v>67</v>
      </c>
      <c r="T10" s="1202">
        <v>3736</v>
      </c>
      <c r="U10" s="1202">
        <v>218</v>
      </c>
      <c r="V10" s="1202">
        <v>1</v>
      </c>
      <c r="W10" s="1202">
        <v>4860</v>
      </c>
      <c r="X10" s="1209">
        <f t="shared" si="0"/>
        <v>26986</v>
      </c>
    </row>
    <row r="11" spans="1:26" ht="36" customHeight="1" x14ac:dyDescent="0.9">
      <c r="A11" s="1204" t="s">
        <v>1484</v>
      </c>
      <c r="B11" s="1201" t="s">
        <v>1485</v>
      </c>
      <c r="C11" s="1202">
        <v>274</v>
      </c>
      <c r="D11" s="1210">
        <v>83</v>
      </c>
      <c r="E11" s="1202">
        <v>119</v>
      </c>
      <c r="F11" s="1205">
        <v>228</v>
      </c>
      <c r="G11" s="1205">
        <v>654</v>
      </c>
      <c r="H11" s="1205">
        <v>200</v>
      </c>
      <c r="I11" s="1202">
        <v>140</v>
      </c>
      <c r="J11" s="1202">
        <v>20574</v>
      </c>
      <c r="K11" s="1202">
        <v>307</v>
      </c>
      <c r="L11" s="1202">
        <v>264</v>
      </c>
      <c r="M11" s="1202">
        <v>283</v>
      </c>
      <c r="N11" s="1202">
        <v>475</v>
      </c>
      <c r="O11" s="1202">
        <v>21</v>
      </c>
      <c r="P11" s="1202">
        <v>639</v>
      </c>
      <c r="Q11" s="1202">
        <v>518</v>
      </c>
      <c r="R11" s="1205">
        <v>557</v>
      </c>
      <c r="S11" s="1202">
        <v>117</v>
      </c>
      <c r="T11" s="1202">
        <v>41</v>
      </c>
      <c r="U11" s="1202">
        <v>355</v>
      </c>
      <c r="V11" s="1202">
        <v>4</v>
      </c>
      <c r="W11" s="1202">
        <v>550</v>
      </c>
      <c r="X11" s="1209">
        <f t="shared" si="0"/>
        <v>26403</v>
      </c>
    </row>
    <row r="12" spans="1:26" ht="36" customHeight="1" x14ac:dyDescent="0.9">
      <c r="A12" s="1204" t="s">
        <v>1486</v>
      </c>
      <c r="B12" s="1201" t="s">
        <v>1472</v>
      </c>
      <c r="C12" s="1202">
        <v>0</v>
      </c>
      <c r="D12" s="1210">
        <v>360</v>
      </c>
      <c r="E12" s="1202">
        <v>5670</v>
      </c>
      <c r="F12" s="1205">
        <v>2400</v>
      </c>
      <c r="G12" s="1205">
        <v>0</v>
      </c>
      <c r="H12" s="1205">
        <v>2300</v>
      </c>
      <c r="I12" s="1202">
        <v>336</v>
      </c>
      <c r="J12" s="1202">
        <v>0</v>
      </c>
      <c r="K12" s="1202">
        <v>0</v>
      </c>
      <c r="L12" s="1202">
        <v>0</v>
      </c>
      <c r="M12" s="1202">
        <v>200</v>
      </c>
      <c r="N12" s="1202">
        <v>400</v>
      </c>
      <c r="O12" s="1202">
        <v>20</v>
      </c>
      <c r="P12" s="1202">
        <v>250</v>
      </c>
      <c r="Q12" s="1202">
        <v>477</v>
      </c>
      <c r="R12" s="1205">
        <v>0</v>
      </c>
      <c r="S12" s="1202">
        <v>3270</v>
      </c>
      <c r="T12" s="1202">
        <v>683</v>
      </c>
      <c r="U12" s="1202">
        <v>1270</v>
      </c>
      <c r="V12" s="1202">
        <v>0</v>
      </c>
      <c r="W12" s="1202">
        <v>0</v>
      </c>
      <c r="X12" s="1209">
        <f t="shared" si="0"/>
        <v>17636</v>
      </c>
    </row>
    <row r="13" spans="1:26" ht="36" customHeight="1" x14ac:dyDescent="0.9">
      <c r="A13" s="1204" t="s">
        <v>1487</v>
      </c>
      <c r="B13" s="1201" t="s">
        <v>1474</v>
      </c>
      <c r="C13" s="1211">
        <v>0</v>
      </c>
      <c r="D13" s="1216">
        <v>0</v>
      </c>
      <c r="E13" s="1211">
        <v>0</v>
      </c>
      <c r="F13" s="1211">
        <v>0</v>
      </c>
      <c r="G13" s="1211">
        <v>0</v>
      </c>
      <c r="H13" s="1211">
        <v>0</v>
      </c>
      <c r="I13" s="1211">
        <v>0</v>
      </c>
      <c r="J13" s="1211">
        <v>0</v>
      </c>
      <c r="K13" s="1211">
        <v>0</v>
      </c>
      <c r="L13" s="1211">
        <v>0</v>
      </c>
      <c r="M13" s="1211">
        <v>0</v>
      </c>
      <c r="N13" s="1211">
        <v>0</v>
      </c>
      <c r="O13" s="1211">
        <v>0</v>
      </c>
      <c r="P13" s="1211">
        <v>0</v>
      </c>
      <c r="Q13" s="1211">
        <v>0</v>
      </c>
      <c r="R13" s="1211">
        <v>0</v>
      </c>
      <c r="S13" s="1211">
        <v>0</v>
      </c>
      <c r="T13" s="1211">
        <v>0</v>
      </c>
      <c r="U13" s="1211">
        <v>0</v>
      </c>
      <c r="V13" s="1211">
        <v>0</v>
      </c>
      <c r="W13" s="1211">
        <v>0</v>
      </c>
      <c r="X13" s="1217">
        <f t="shared" si="0"/>
        <v>0</v>
      </c>
      <c r="Z13" s="1218"/>
    </row>
    <row r="14" spans="1:26" ht="36" customHeight="1" x14ac:dyDescent="0.9">
      <c r="A14" s="1204" t="s">
        <v>1488</v>
      </c>
      <c r="B14" s="1201" t="s">
        <v>1474</v>
      </c>
      <c r="C14" s="1214">
        <v>0</v>
      </c>
      <c r="D14" s="1214">
        <v>0</v>
      </c>
      <c r="E14" s="1214">
        <v>0</v>
      </c>
      <c r="F14" s="1214">
        <v>0</v>
      </c>
      <c r="G14" s="1214">
        <v>0</v>
      </c>
      <c r="H14" s="1214">
        <v>0</v>
      </c>
      <c r="I14" s="1214">
        <v>0.68</v>
      </c>
      <c r="J14" s="1214">
        <v>0</v>
      </c>
      <c r="K14" s="1214">
        <v>0</v>
      </c>
      <c r="L14" s="1214">
        <v>1.5</v>
      </c>
      <c r="M14" s="1214">
        <v>0</v>
      </c>
      <c r="N14" s="1214">
        <v>9.9499999999999993</v>
      </c>
      <c r="O14" s="1202">
        <v>0</v>
      </c>
      <c r="P14" s="1202">
        <v>0</v>
      </c>
      <c r="Q14" s="1202">
        <v>0</v>
      </c>
      <c r="R14" s="1214">
        <v>1</v>
      </c>
      <c r="S14" s="1202">
        <v>0</v>
      </c>
      <c r="T14" s="1202">
        <v>0</v>
      </c>
      <c r="U14" s="1202">
        <v>0</v>
      </c>
      <c r="V14" s="1202">
        <v>0</v>
      </c>
      <c r="W14" s="1219">
        <v>1.75</v>
      </c>
      <c r="X14" s="1220">
        <f t="shared" si="0"/>
        <v>14.879999999999999</v>
      </c>
      <c r="Z14" s="1221"/>
    </row>
    <row r="15" spans="1:26" ht="36" customHeight="1" x14ac:dyDescent="0.9">
      <c r="A15" s="1204" t="s">
        <v>1489</v>
      </c>
      <c r="B15" s="1201" t="s">
        <v>1490</v>
      </c>
      <c r="C15" s="1222">
        <v>225</v>
      </c>
      <c r="D15" s="1223">
        <v>0</v>
      </c>
      <c r="E15" s="1223">
        <v>0</v>
      </c>
      <c r="F15" s="1223">
        <v>0</v>
      </c>
      <c r="G15" s="1223">
        <v>0</v>
      </c>
      <c r="H15" s="1223">
        <v>108</v>
      </c>
      <c r="I15" s="1223">
        <v>0</v>
      </c>
      <c r="J15" s="1223">
        <v>1105</v>
      </c>
      <c r="K15" s="1223">
        <v>0</v>
      </c>
      <c r="L15" s="1223">
        <v>0</v>
      </c>
      <c r="M15" s="1223">
        <v>0</v>
      </c>
      <c r="N15" s="1223">
        <v>2214</v>
      </c>
      <c r="O15" s="1223">
        <v>0</v>
      </c>
      <c r="P15" s="1223">
        <v>940</v>
      </c>
      <c r="Q15" s="1223">
        <v>0</v>
      </c>
      <c r="R15" s="1223">
        <v>80</v>
      </c>
      <c r="S15" s="1223">
        <v>1635</v>
      </c>
      <c r="T15" s="1223">
        <v>0</v>
      </c>
      <c r="U15" s="1223">
        <v>0</v>
      </c>
      <c r="V15" s="1223">
        <v>0</v>
      </c>
      <c r="W15" s="1223">
        <v>1504</v>
      </c>
      <c r="X15" s="1215">
        <f t="shared" si="0"/>
        <v>7811</v>
      </c>
    </row>
    <row r="16" spans="1:26" ht="36" customHeight="1" thickBot="1" x14ac:dyDescent="0.95">
      <c r="A16" s="1224" t="s">
        <v>1491</v>
      </c>
      <c r="B16" s="1201" t="s">
        <v>1472</v>
      </c>
      <c r="C16" s="1205">
        <v>1200</v>
      </c>
      <c r="D16" s="1205">
        <v>0</v>
      </c>
      <c r="E16" s="1205">
        <v>3083</v>
      </c>
      <c r="F16" s="1205">
        <v>2591</v>
      </c>
      <c r="G16" s="1205">
        <v>472</v>
      </c>
      <c r="H16" s="1205">
        <v>0</v>
      </c>
      <c r="I16" s="1205">
        <v>0</v>
      </c>
      <c r="J16" s="1205">
        <v>17250</v>
      </c>
      <c r="K16" s="1205">
        <v>0</v>
      </c>
      <c r="L16" s="1205">
        <v>300</v>
      </c>
      <c r="M16" s="1205">
        <v>4000</v>
      </c>
      <c r="N16" s="1205">
        <v>0</v>
      </c>
      <c r="O16" s="1205">
        <v>0</v>
      </c>
      <c r="P16" s="1205">
        <v>0</v>
      </c>
      <c r="Q16" s="1205">
        <v>1000</v>
      </c>
      <c r="R16" s="1205">
        <v>0</v>
      </c>
      <c r="S16" s="1205">
        <v>7920</v>
      </c>
      <c r="T16" s="1205">
        <v>0</v>
      </c>
      <c r="U16" s="1205">
        <v>0</v>
      </c>
      <c r="V16" s="1205">
        <v>0</v>
      </c>
      <c r="W16" s="1205">
        <v>0</v>
      </c>
      <c r="X16" s="1209">
        <f t="shared" si="0"/>
        <v>37816</v>
      </c>
    </row>
    <row r="18" spans="1:2" ht="25.5" customHeight="1" x14ac:dyDescent="0.55000000000000004">
      <c r="A18" s="2880" t="s">
        <v>1492</v>
      </c>
      <c r="B18" s="2880"/>
    </row>
  </sheetData>
  <mergeCells count="2">
    <mergeCell ref="A1:X1"/>
    <mergeCell ref="A18:B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B2:N20"/>
  <sheetViews>
    <sheetView rightToLeft="1" zoomScaleNormal="100" workbookViewId="0">
      <selection activeCell="B15" sqref="B15:D15"/>
    </sheetView>
  </sheetViews>
  <sheetFormatPr defaultColWidth="9.125" defaultRowHeight="19.5" x14ac:dyDescent="0.4"/>
  <cols>
    <col min="1" max="1" width="9.125" style="141"/>
    <col min="2" max="2" width="21.75" style="141" customWidth="1"/>
    <col min="3" max="3" width="2.75" style="141" customWidth="1"/>
    <col min="4" max="4" width="12.625" style="141" customWidth="1"/>
    <col min="5" max="5" width="15" style="141" customWidth="1"/>
    <col min="6" max="6" width="14.125" style="141" customWidth="1"/>
    <col min="7" max="7" width="14.375" style="141" customWidth="1"/>
    <col min="8" max="8" width="9.125" style="141" customWidth="1"/>
    <col min="9" max="9" width="8.875" style="141" customWidth="1"/>
    <col min="10" max="12" width="9.125" style="141"/>
    <col min="13" max="14" width="23.875" style="1061" customWidth="1"/>
    <col min="15" max="15" width="10.375" style="141" customWidth="1"/>
    <col min="16" max="16" width="9.125" style="141"/>
    <col min="17" max="17" width="11.25" style="141" bestFit="1" customWidth="1"/>
    <col min="18" max="16384" width="9.125" style="141"/>
  </cols>
  <sheetData>
    <row r="2" spans="2:14" ht="37.5" customHeight="1" thickBot="1" x14ac:dyDescent="0.45">
      <c r="B2" s="2889" t="s">
        <v>1457</v>
      </c>
      <c r="C2" s="2889"/>
      <c r="D2" s="2889"/>
      <c r="E2" s="2889"/>
      <c r="F2" s="2889"/>
      <c r="G2" s="2889"/>
    </row>
    <row r="3" spans="2:14" ht="26.25" customHeight="1" x14ac:dyDescent="0.4">
      <c r="B3" s="2890" t="s">
        <v>118</v>
      </c>
      <c r="C3" s="2891"/>
      <c r="D3" s="2892"/>
      <c r="E3" s="2896" t="s">
        <v>38</v>
      </c>
      <c r="F3" s="2897"/>
      <c r="G3" s="2892" t="s">
        <v>1027</v>
      </c>
    </row>
    <row r="4" spans="2:14" ht="26.25" customHeight="1" thickBot="1" x14ac:dyDescent="0.45">
      <c r="B4" s="2893"/>
      <c r="C4" s="2894"/>
      <c r="D4" s="2895"/>
      <c r="E4" s="1785">
        <v>1402</v>
      </c>
      <c r="F4" s="1785">
        <v>1403</v>
      </c>
      <c r="G4" s="2895"/>
    </row>
    <row r="5" spans="2:14" ht="22.5" customHeight="1" x14ac:dyDescent="0.4">
      <c r="B5" s="2882" t="s">
        <v>1458</v>
      </c>
      <c r="C5" s="2883"/>
      <c r="D5" s="2884"/>
      <c r="E5" s="1188"/>
      <c r="F5" s="1188"/>
      <c r="G5" s="1188"/>
    </row>
    <row r="6" spans="2:14" ht="22.5" customHeight="1" x14ac:dyDescent="0.45">
      <c r="B6" s="2885" t="s">
        <v>1459</v>
      </c>
      <c r="C6" s="2886"/>
      <c r="D6" s="2887"/>
      <c r="E6" s="1189">
        <v>81693728</v>
      </c>
      <c r="F6" s="1189">
        <v>81256716</v>
      </c>
      <c r="G6" s="1024">
        <f>(F6-E6)/E6</f>
        <v>-5.3493947540256704E-3</v>
      </c>
      <c r="I6" s="736"/>
      <c r="J6" s="150"/>
      <c r="L6" s="794"/>
      <c r="M6" s="141"/>
      <c r="N6" s="141"/>
    </row>
    <row r="7" spans="2:14" ht="18" customHeight="1" x14ac:dyDescent="0.4">
      <c r="B7" s="1786"/>
      <c r="C7" s="1787"/>
      <c r="D7" s="1788"/>
      <c r="E7" s="1189"/>
      <c r="F7" s="1189"/>
      <c r="G7" s="1024"/>
      <c r="I7" s="736"/>
      <c r="M7" s="141"/>
      <c r="N7" s="141"/>
    </row>
    <row r="8" spans="2:14" ht="18" customHeight="1" x14ac:dyDescent="0.4">
      <c r="B8" s="2882" t="s">
        <v>1460</v>
      </c>
      <c r="C8" s="2883"/>
      <c r="D8" s="2884"/>
      <c r="E8" s="1189"/>
      <c r="F8" s="1189"/>
      <c r="G8" s="1024"/>
      <c r="I8" s="736"/>
      <c r="M8" s="141"/>
      <c r="N8" s="141"/>
    </row>
    <row r="9" spans="2:14" ht="18" customHeight="1" x14ac:dyDescent="0.4">
      <c r="B9" s="1786"/>
      <c r="C9" s="1787"/>
      <c r="D9" s="1788"/>
      <c r="E9" s="1189"/>
      <c r="F9" s="1189"/>
      <c r="G9" s="1024"/>
      <c r="I9" s="736"/>
      <c r="K9" s="150"/>
      <c r="M9" s="141"/>
      <c r="N9" s="141"/>
    </row>
    <row r="10" spans="2:14" ht="27" customHeight="1" x14ac:dyDescent="0.4">
      <c r="B10" s="2885" t="s">
        <v>1459</v>
      </c>
      <c r="C10" s="2886"/>
      <c r="D10" s="2887"/>
      <c r="E10" s="1190">
        <v>10789140</v>
      </c>
      <c r="F10" s="1190">
        <v>10579542</v>
      </c>
      <c r="G10" s="1191">
        <f>(F10-E10)/E10</f>
        <v>-1.942675690555503E-2</v>
      </c>
      <c r="I10" s="736"/>
      <c r="J10" s="150"/>
      <c r="M10" s="141"/>
      <c r="N10" s="141"/>
    </row>
    <row r="11" spans="2:14" ht="27" customHeight="1" x14ac:dyDescent="0.4">
      <c r="B11" s="1786"/>
      <c r="C11" s="1787"/>
      <c r="D11" s="1788"/>
      <c r="E11" s="1190"/>
      <c r="F11" s="1190"/>
      <c r="G11" s="1024"/>
      <c r="I11" s="736"/>
      <c r="J11" s="150"/>
      <c r="M11" s="141"/>
      <c r="N11" s="141"/>
    </row>
    <row r="12" spans="2:14" ht="26.25" customHeight="1" x14ac:dyDescent="0.4">
      <c r="B12" s="2882" t="s">
        <v>1461</v>
      </c>
      <c r="C12" s="2883"/>
      <c r="D12" s="2884"/>
      <c r="E12" s="1189"/>
      <c r="F12" s="1189"/>
      <c r="G12" s="1024"/>
      <c r="I12" s="736"/>
      <c r="J12" s="150"/>
    </row>
    <row r="13" spans="2:14" ht="18" customHeight="1" x14ac:dyDescent="0.4">
      <c r="B13" s="1789" t="s">
        <v>1462</v>
      </c>
      <c r="C13" s="1790"/>
      <c r="D13" s="1791" t="s">
        <v>1463</v>
      </c>
      <c r="E13" s="1189">
        <v>2962530</v>
      </c>
      <c r="F13" s="1189">
        <v>3234821</v>
      </c>
      <c r="G13" s="1024">
        <f>(F13-E13)/E13</f>
        <v>9.1911643088846362E-2</v>
      </c>
      <c r="I13" s="736"/>
      <c r="J13" s="150"/>
    </row>
    <row r="14" spans="2:14" ht="18" customHeight="1" x14ac:dyDescent="0.4">
      <c r="B14" s="1789"/>
      <c r="C14" s="1790"/>
      <c r="D14" s="1791"/>
      <c r="E14" s="1189"/>
      <c r="F14" s="1189"/>
      <c r="G14" s="1024"/>
      <c r="I14" s="736"/>
      <c r="J14" s="736"/>
    </row>
    <row r="15" spans="2:14" ht="22.5" customHeight="1" x14ac:dyDescent="0.4">
      <c r="B15" s="2882" t="s">
        <v>1464</v>
      </c>
      <c r="C15" s="2883"/>
      <c r="D15" s="2884"/>
      <c r="E15" s="1189"/>
      <c r="F15" s="1189"/>
      <c r="G15" s="1024"/>
      <c r="I15" s="736"/>
    </row>
    <row r="16" spans="2:14" ht="11.25" customHeight="1" x14ac:dyDescent="0.4">
      <c r="B16" s="1792"/>
      <c r="C16" s="1793"/>
      <c r="D16" s="1791"/>
      <c r="E16" s="1189"/>
      <c r="F16" s="1189"/>
      <c r="G16" s="1024"/>
      <c r="I16" s="736"/>
    </row>
    <row r="17" spans="2:10" ht="22.5" customHeight="1" x14ac:dyDescent="0.4">
      <c r="B17" s="2885" t="s">
        <v>1465</v>
      </c>
      <c r="C17" s="2886"/>
      <c r="D17" s="2887"/>
      <c r="E17" s="1190">
        <v>1578211</v>
      </c>
      <c r="F17" s="1190">
        <v>1029840</v>
      </c>
      <c r="G17" s="1024">
        <f t="shared" ref="G17" si="0">(F17-E17)/E17</f>
        <v>-0.34746367881100815</v>
      </c>
      <c r="I17" s="736"/>
      <c r="J17" s="150"/>
    </row>
    <row r="18" spans="2:10" ht="11.25" customHeight="1" thickBot="1" x14ac:dyDescent="0.45">
      <c r="B18" s="1794"/>
      <c r="C18" s="1795"/>
      <c r="D18" s="1796"/>
      <c r="E18" s="1192"/>
      <c r="F18" s="1192"/>
      <c r="G18" s="1026" t="s">
        <v>425</v>
      </c>
      <c r="J18" s="787"/>
    </row>
    <row r="19" spans="2:10" ht="18" customHeight="1" x14ac:dyDescent="0.4">
      <c r="B19" s="2888" t="s">
        <v>1466</v>
      </c>
      <c r="C19" s="2888"/>
      <c r="D19" s="2888"/>
    </row>
    <row r="20" spans="2:10" x14ac:dyDescent="0.4">
      <c r="B20" s="2881"/>
      <c r="C20" s="2881"/>
      <c r="D20" s="2881"/>
      <c r="E20" s="1193"/>
      <c r="F20" s="140"/>
      <c r="G20" s="140"/>
    </row>
  </sheetData>
  <mergeCells count="13">
    <mergeCell ref="B6:D6"/>
    <mergeCell ref="B2:G2"/>
    <mergeCell ref="B3:D4"/>
    <mergeCell ref="E3:F3"/>
    <mergeCell ref="G3:G4"/>
    <mergeCell ref="B5:D5"/>
    <mergeCell ref="B20:D20"/>
    <mergeCell ref="B8:D8"/>
    <mergeCell ref="B10:D10"/>
    <mergeCell ref="B12:D12"/>
    <mergeCell ref="B15:D15"/>
    <mergeCell ref="B17:D17"/>
    <mergeCell ref="B19:D19"/>
  </mergeCells>
  <printOptions horizontalCentered="1" verticalCentered="1"/>
  <pageMargins left="0.74803149606299213" right="0.74803149606299213" top="0.98425196850393704" bottom="0.98425196850393704" header="0" footer="0"/>
  <pageSetup paperSize="9" firstPageNumber="65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B050"/>
  </sheetPr>
  <dimension ref="A1:G44"/>
  <sheetViews>
    <sheetView rightToLeft="1" topLeftCell="A12" workbookViewId="0">
      <selection activeCell="B15" sqref="B15"/>
    </sheetView>
  </sheetViews>
  <sheetFormatPr defaultRowHeight="14.25" x14ac:dyDescent="0.2"/>
  <cols>
    <col min="1" max="1" width="12.375" style="686" customWidth="1"/>
    <col min="2" max="2" width="13.125" style="686" customWidth="1"/>
    <col min="3" max="3" width="14.625" style="686" customWidth="1"/>
    <col min="4" max="4" width="17.625" style="686" customWidth="1"/>
    <col min="5" max="5" width="22" style="686" customWidth="1"/>
    <col min="6" max="6" width="13.375" style="686" customWidth="1"/>
    <col min="7" max="16384" width="9" style="686"/>
  </cols>
  <sheetData>
    <row r="1" ht="24.75" customHeight="1" x14ac:dyDescent="0.2"/>
    <row r="2" ht="24.75" customHeight="1" x14ac:dyDescent="0.2"/>
    <row r="3" ht="24.75" customHeight="1" x14ac:dyDescent="0.2"/>
    <row r="4" ht="24.75" customHeight="1" x14ac:dyDescent="0.2"/>
    <row r="5" ht="24.75" customHeight="1" x14ac:dyDescent="0.2"/>
    <row r="6" ht="24.75" customHeight="1" x14ac:dyDescent="0.2"/>
    <row r="7" ht="24.75" customHeight="1" x14ac:dyDescent="0.2"/>
    <row r="8" ht="24.75" customHeight="1" x14ac:dyDescent="0.2"/>
    <row r="9" ht="24.75" customHeight="1" x14ac:dyDescent="0.2"/>
    <row r="10" ht="24.75" customHeight="1" x14ac:dyDescent="0.2"/>
    <row r="11" ht="24.75" customHeight="1" x14ac:dyDescent="0.2"/>
    <row r="12" ht="24.75" customHeight="1" x14ac:dyDescent="0.2"/>
    <row r="13" ht="24.75" customHeight="1" x14ac:dyDescent="0.2"/>
    <row r="14" ht="24.75" customHeight="1" x14ac:dyDescent="0.2"/>
    <row r="15" ht="24.75" customHeight="1" x14ac:dyDescent="0.2"/>
    <row r="16" ht="24.75" customHeight="1" x14ac:dyDescent="0.2"/>
    <row r="17" spans="1:7" ht="21" x14ac:dyDescent="0.2">
      <c r="A17" s="2899" t="s">
        <v>919</v>
      </c>
      <c r="B17" s="2899"/>
      <c r="C17" s="2899"/>
      <c r="D17" s="2899"/>
      <c r="E17" s="2899"/>
    </row>
    <row r="18" spans="1:7" ht="15" thickBot="1" x14ac:dyDescent="0.25">
      <c r="A18" s="2900" t="s">
        <v>920</v>
      </c>
      <c r="B18" s="2900"/>
      <c r="C18" s="2900"/>
      <c r="D18" s="2900"/>
      <c r="E18" s="2900"/>
    </row>
    <row r="19" spans="1:7" ht="19.5" x14ac:dyDescent="0.2">
      <c r="A19" s="2901" t="s">
        <v>921</v>
      </c>
      <c r="B19" s="2903" t="s">
        <v>38</v>
      </c>
      <c r="C19" s="2904"/>
      <c r="D19" s="2905" t="s">
        <v>442</v>
      </c>
      <c r="E19" s="2907" t="s">
        <v>406</v>
      </c>
    </row>
    <row r="20" spans="1:7" ht="23.25" thickBot="1" x14ac:dyDescent="0.25">
      <c r="A20" s="2902"/>
      <c r="B20" s="1815">
        <v>1402</v>
      </c>
      <c r="C20" s="1816">
        <v>1403</v>
      </c>
      <c r="D20" s="2906"/>
      <c r="E20" s="2908"/>
    </row>
    <row r="21" spans="1:7" ht="22.5" x14ac:dyDescent="0.55000000000000004">
      <c r="A21" s="1810" t="s">
        <v>106</v>
      </c>
      <c r="B21" s="1811">
        <v>7238</v>
      </c>
      <c r="C21" s="1812">
        <v>8295</v>
      </c>
      <c r="D21" s="1813">
        <v>1057</v>
      </c>
      <c r="E21" s="1814">
        <v>14</v>
      </c>
      <c r="G21" s="716"/>
    </row>
    <row r="22" spans="1:7" ht="22.5" x14ac:dyDescent="0.55000000000000004">
      <c r="A22" s="1808" t="s">
        <v>110</v>
      </c>
      <c r="B22" s="1805">
        <v>6750</v>
      </c>
      <c r="C22" s="715">
        <v>6062</v>
      </c>
      <c r="D22" s="1797">
        <v>-688</v>
      </c>
      <c r="E22" s="1798">
        <v>-10</v>
      </c>
      <c r="G22" s="716"/>
    </row>
    <row r="23" spans="1:7" ht="22.5" x14ac:dyDescent="0.55000000000000004">
      <c r="A23" s="1808" t="s">
        <v>589</v>
      </c>
      <c r="B23" s="1805">
        <v>26942</v>
      </c>
      <c r="C23" s="715">
        <v>26319</v>
      </c>
      <c r="D23" s="1797">
        <v>-623</v>
      </c>
      <c r="E23" s="1798">
        <v>-2</v>
      </c>
      <c r="G23" s="716"/>
    </row>
    <row r="24" spans="1:7" ht="22.5" x14ac:dyDescent="0.55000000000000004">
      <c r="A24" s="1808" t="s">
        <v>922</v>
      </c>
      <c r="B24" s="1805">
        <v>9856</v>
      </c>
      <c r="C24" s="715">
        <v>9541</v>
      </c>
      <c r="D24" s="1797">
        <v>-315</v>
      </c>
      <c r="E24" s="1798">
        <v>-3</v>
      </c>
      <c r="G24" s="716"/>
    </row>
    <row r="25" spans="1:7" ht="22.5" x14ac:dyDescent="0.55000000000000004">
      <c r="A25" s="1808" t="s">
        <v>108</v>
      </c>
      <c r="B25" s="1805">
        <v>22119</v>
      </c>
      <c r="C25" s="715">
        <v>26989</v>
      </c>
      <c r="D25" s="1797">
        <v>4870</v>
      </c>
      <c r="E25" s="1798">
        <v>22</v>
      </c>
      <c r="G25" s="716"/>
    </row>
    <row r="26" spans="1:7" ht="22.5" x14ac:dyDescent="0.55000000000000004">
      <c r="A26" s="1808" t="s">
        <v>99</v>
      </c>
      <c r="B26" s="1805">
        <v>57979</v>
      </c>
      <c r="C26" s="715">
        <v>55408</v>
      </c>
      <c r="D26" s="1797">
        <v>-2571</v>
      </c>
      <c r="E26" s="1798">
        <v>-4</v>
      </c>
      <c r="G26" s="716"/>
    </row>
    <row r="27" spans="1:7" ht="22.5" x14ac:dyDescent="0.55000000000000004">
      <c r="A27" s="1809" t="s">
        <v>923</v>
      </c>
      <c r="B27" s="1805">
        <v>35</v>
      </c>
      <c r="C27" s="715">
        <v>56</v>
      </c>
      <c r="D27" s="1797">
        <v>21</v>
      </c>
      <c r="E27" s="1798">
        <v>60</v>
      </c>
      <c r="G27" s="716"/>
    </row>
    <row r="28" spans="1:7" ht="22.5" x14ac:dyDescent="0.55000000000000004">
      <c r="A28" s="1808" t="s">
        <v>95</v>
      </c>
      <c r="B28" s="1805">
        <v>53087</v>
      </c>
      <c r="C28" s="715">
        <v>53955</v>
      </c>
      <c r="D28" s="1797">
        <v>868</v>
      </c>
      <c r="E28" s="1798">
        <v>1</v>
      </c>
      <c r="G28" s="716"/>
    </row>
    <row r="29" spans="1:7" ht="22.5" x14ac:dyDescent="0.55000000000000004">
      <c r="A29" s="1808" t="s">
        <v>924</v>
      </c>
      <c r="B29" s="1805">
        <v>59945</v>
      </c>
      <c r="C29" s="715">
        <v>56805</v>
      </c>
      <c r="D29" s="1797">
        <v>-3140</v>
      </c>
      <c r="E29" s="1798">
        <v>-5</v>
      </c>
      <c r="G29" s="716"/>
    </row>
    <row r="30" spans="1:7" ht="22.5" x14ac:dyDescent="0.55000000000000004">
      <c r="A30" s="1808" t="s">
        <v>97</v>
      </c>
      <c r="B30" s="1805">
        <v>49052</v>
      </c>
      <c r="C30" s="715">
        <v>44954</v>
      </c>
      <c r="D30" s="1797">
        <v>-4098</v>
      </c>
      <c r="E30" s="1798">
        <v>-8</v>
      </c>
      <c r="G30" s="716"/>
    </row>
    <row r="31" spans="1:7" ht="22.5" x14ac:dyDescent="0.55000000000000004">
      <c r="A31" s="1808" t="s">
        <v>107</v>
      </c>
      <c r="B31" s="1805">
        <v>10161</v>
      </c>
      <c r="C31" s="715">
        <v>8888</v>
      </c>
      <c r="D31" s="1797">
        <v>-1273</v>
      </c>
      <c r="E31" s="1798">
        <v>-12</v>
      </c>
      <c r="G31" s="716"/>
    </row>
    <row r="32" spans="1:7" ht="22.5" x14ac:dyDescent="0.55000000000000004">
      <c r="A32" s="1808" t="s">
        <v>201</v>
      </c>
      <c r="B32" s="1805">
        <v>9648</v>
      </c>
      <c r="C32" s="715">
        <v>10393</v>
      </c>
      <c r="D32" s="1797">
        <v>745</v>
      </c>
      <c r="E32" s="1798">
        <v>7</v>
      </c>
      <c r="G32" s="716"/>
    </row>
    <row r="33" spans="1:7" ht="22.5" x14ac:dyDescent="0.55000000000000004">
      <c r="A33" s="1808" t="s">
        <v>925</v>
      </c>
      <c r="B33" s="1805">
        <v>6852</v>
      </c>
      <c r="C33" s="715">
        <v>8627</v>
      </c>
      <c r="D33" s="1797">
        <v>1775</v>
      </c>
      <c r="E33" s="1798">
        <v>25</v>
      </c>
      <c r="G33" s="716"/>
    </row>
    <row r="34" spans="1:7" ht="22.5" x14ac:dyDescent="0.55000000000000004">
      <c r="A34" s="1808" t="s">
        <v>111</v>
      </c>
      <c r="B34" s="1805">
        <v>19345</v>
      </c>
      <c r="C34" s="715">
        <v>14128</v>
      </c>
      <c r="D34" s="1797">
        <v>-5217</v>
      </c>
      <c r="E34" s="1798">
        <v>-26</v>
      </c>
      <c r="G34" s="716"/>
    </row>
    <row r="35" spans="1:7" ht="22.5" x14ac:dyDescent="0.55000000000000004">
      <c r="A35" s="1385" t="s">
        <v>588</v>
      </c>
      <c r="B35" s="1805">
        <v>2345</v>
      </c>
      <c r="C35" s="715">
        <v>2555</v>
      </c>
      <c r="D35" s="1797">
        <v>210</v>
      </c>
      <c r="E35" s="1798">
        <v>8</v>
      </c>
      <c r="G35" s="716"/>
    </row>
    <row r="36" spans="1:7" ht="22.5" x14ac:dyDescent="0.55000000000000004">
      <c r="A36" s="1808" t="s">
        <v>104</v>
      </c>
      <c r="B36" s="1805">
        <v>4310</v>
      </c>
      <c r="C36" s="715">
        <v>3688</v>
      </c>
      <c r="D36" s="1797">
        <v>-622</v>
      </c>
      <c r="E36" s="1798">
        <v>-14</v>
      </c>
      <c r="G36" s="716"/>
    </row>
    <row r="37" spans="1:7" ht="22.5" x14ac:dyDescent="0.55000000000000004">
      <c r="A37" s="1808" t="s">
        <v>96</v>
      </c>
      <c r="B37" s="1805">
        <v>46323</v>
      </c>
      <c r="C37" s="715">
        <v>52356</v>
      </c>
      <c r="D37" s="1797">
        <v>6033</v>
      </c>
      <c r="E37" s="1798">
        <v>13</v>
      </c>
      <c r="G37" s="716"/>
    </row>
    <row r="38" spans="1:7" ht="22.5" x14ac:dyDescent="0.55000000000000004">
      <c r="A38" s="1808" t="s">
        <v>101</v>
      </c>
      <c r="B38" s="1805">
        <v>46822</v>
      </c>
      <c r="C38" s="715">
        <v>50236</v>
      </c>
      <c r="D38" s="1797">
        <v>3414</v>
      </c>
      <c r="E38" s="1798">
        <v>7</v>
      </c>
      <c r="G38" s="716"/>
    </row>
    <row r="39" spans="1:7" ht="22.5" x14ac:dyDescent="0.55000000000000004">
      <c r="A39" s="1808" t="s">
        <v>590</v>
      </c>
      <c r="B39" s="1805">
        <v>1210</v>
      </c>
      <c r="C39" s="715">
        <v>1416</v>
      </c>
      <c r="D39" s="1797">
        <v>206</v>
      </c>
      <c r="E39" s="1798">
        <v>17</v>
      </c>
      <c r="G39" s="716"/>
    </row>
    <row r="40" spans="1:7" ht="22.5" x14ac:dyDescent="0.55000000000000004">
      <c r="A40" s="1808" t="s">
        <v>198</v>
      </c>
      <c r="B40" s="1805">
        <v>8204</v>
      </c>
      <c r="C40" s="715">
        <v>7587</v>
      </c>
      <c r="D40" s="1797">
        <v>-617</v>
      </c>
      <c r="E40" s="1798">
        <v>-7</v>
      </c>
      <c r="G40" s="716"/>
    </row>
    <row r="41" spans="1:7" ht="23.25" thickBot="1" x14ac:dyDescent="0.6">
      <c r="A41" s="1384" t="s">
        <v>112</v>
      </c>
      <c r="B41" s="1806">
        <v>2541</v>
      </c>
      <c r="C41" s="1799">
        <v>2878</v>
      </c>
      <c r="D41" s="1800">
        <v>337</v>
      </c>
      <c r="E41" s="1801">
        <v>13</v>
      </c>
      <c r="G41" s="716"/>
    </row>
    <row r="42" spans="1:7" ht="23.25" thickBot="1" x14ac:dyDescent="0.6">
      <c r="A42" s="710" t="s">
        <v>170</v>
      </c>
      <c r="B42" s="1807">
        <f>SUM(B21:B41)</f>
        <v>450764</v>
      </c>
      <c r="C42" s="1802">
        <f>SUM(C21:C41)</f>
        <v>451136</v>
      </c>
      <c r="D42" s="1803">
        <v>372</v>
      </c>
      <c r="E42" s="1804"/>
      <c r="G42" s="716"/>
    </row>
    <row r="43" spans="1:7" ht="9.75" customHeight="1" x14ac:dyDescent="0.4">
      <c r="A43" s="680"/>
      <c r="B43" s="680"/>
      <c r="C43" s="680"/>
      <c r="D43" s="680"/>
      <c r="E43" s="680"/>
    </row>
    <row r="44" spans="1:7" ht="16.5" x14ac:dyDescent="0.35">
      <c r="A44" s="2898" t="s">
        <v>926</v>
      </c>
      <c r="B44" s="2898"/>
      <c r="C44" s="2898"/>
      <c r="D44" s="2898"/>
      <c r="E44" s="2898"/>
    </row>
  </sheetData>
  <mergeCells count="7">
    <mergeCell ref="A44:E44"/>
    <mergeCell ref="A17:E17"/>
    <mergeCell ref="A18:E18"/>
    <mergeCell ref="A19:A20"/>
    <mergeCell ref="B19:C19"/>
    <mergeCell ref="D19:D20"/>
    <mergeCell ref="E19:E20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B050"/>
  </sheetPr>
  <dimension ref="A1:G35"/>
  <sheetViews>
    <sheetView rightToLeft="1" zoomScale="80" zoomScaleNormal="80" workbookViewId="0">
      <selection activeCell="A14" sqref="A14:B15"/>
    </sheetView>
  </sheetViews>
  <sheetFormatPr defaultColWidth="8.125" defaultRowHeight="15.75" x14ac:dyDescent="0.4"/>
  <cols>
    <col min="1" max="1" width="13.125" style="680" customWidth="1"/>
    <col min="2" max="2" width="20" style="680" customWidth="1"/>
    <col min="3" max="3" width="15.875" style="680" customWidth="1"/>
    <col min="4" max="4" width="17.625" style="680" customWidth="1"/>
    <col min="5" max="5" width="14" style="680" customWidth="1"/>
    <col min="6" max="6" width="8.125" style="680"/>
    <col min="7" max="7" width="8.25" style="680" bestFit="1" customWidth="1"/>
    <col min="8" max="16384" width="8.125" style="680"/>
  </cols>
  <sheetData>
    <row r="1" spans="1:6" ht="35.25" customHeight="1" thickBot="1" x14ac:dyDescent="0.45">
      <c r="A1" s="699"/>
      <c r="B1" s="2918" t="s">
        <v>909</v>
      </c>
      <c r="C1" s="2918"/>
      <c r="D1" s="2918"/>
      <c r="E1" s="699"/>
    </row>
    <row r="2" spans="1:6" ht="32.25" customHeight="1" thickBot="1" x14ac:dyDescent="0.45">
      <c r="B2" s="700" t="s">
        <v>118</v>
      </c>
      <c r="C2" s="701">
        <v>1402</v>
      </c>
      <c r="D2" s="701">
        <v>1403</v>
      </c>
    </row>
    <row r="3" spans="1:6" ht="20.25" customHeight="1" x14ac:dyDescent="0.4">
      <c r="B3" s="1376" t="s">
        <v>910</v>
      </c>
      <c r="C3" s="702">
        <v>450763</v>
      </c>
      <c r="D3" s="702">
        <v>451138</v>
      </c>
      <c r="E3" s="703"/>
      <c r="F3" s="713"/>
    </row>
    <row r="4" spans="1:6" ht="20.25" customHeight="1" x14ac:dyDescent="0.4">
      <c r="B4" s="1376" t="s">
        <v>911</v>
      </c>
      <c r="C4" s="704">
        <v>8790</v>
      </c>
      <c r="D4" s="704">
        <v>10639</v>
      </c>
      <c r="E4" s="705"/>
      <c r="F4" s="1174"/>
    </row>
    <row r="5" spans="1:6" ht="21" customHeight="1" x14ac:dyDescent="0.55000000000000004">
      <c r="B5" s="1376" t="s">
        <v>912</v>
      </c>
      <c r="C5" s="706">
        <v>5353</v>
      </c>
      <c r="D5" s="706">
        <v>7306</v>
      </c>
      <c r="E5" s="707"/>
      <c r="F5" s="713"/>
    </row>
    <row r="6" spans="1:6" ht="21" customHeight="1" x14ac:dyDescent="0.4">
      <c r="B6" s="1376" t="s">
        <v>913</v>
      </c>
      <c r="C6" s="708">
        <v>2794</v>
      </c>
      <c r="D6" s="708">
        <v>3151</v>
      </c>
      <c r="E6" s="707"/>
      <c r="F6" s="713"/>
    </row>
    <row r="7" spans="1:6" ht="21" customHeight="1" x14ac:dyDescent="0.55000000000000004">
      <c r="B7" s="1376" t="s">
        <v>914</v>
      </c>
      <c r="C7" s="706">
        <v>1505</v>
      </c>
      <c r="D7" s="706">
        <v>1022</v>
      </c>
      <c r="E7" s="707"/>
      <c r="F7" s="713"/>
    </row>
    <row r="8" spans="1:6" ht="21" customHeight="1" x14ac:dyDescent="0.55000000000000004">
      <c r="B8" s="1376" t="s">
        <v>915</v>
      </c>
      <c r="C8" s="706">
        <v>797</v>
      </c>
      <c r="D8" s="706">
        <v>523</v>
      </c>
      <c r="E8" s="707"/>
      <c r="F8" s="713"/>
    </row>
    <row r="9" spans="1:6" ht="21" customHeight="1" thickBot="1" x14ac:dyDescent="0.45">
      <c r="B9" s="1376" t="s">
        <v>916</v>
      </c>
      <c r="C9" s="709">
        <v>225</v>
      </c>
      <c r="D9" s="709">
        <v>50</v>
      </c>
      <c r="E9" s="707"/>
      <c r="F9" s="713"/>
    </row>
    <row r="10" spans="1:6" ht="23.25" thickBot="1" x14ac:dyDescent="0.45">
      <c r="B10" s="710" t="s">
        <v>917</v>
      </c>
      <c r="C10" s="711">
        <f>SUM(C3:C9)</f>
        <v>470227</v>
      </c>
      <c r="D10" s="712">
        <f>SUM(D3:D9)</f>
        <v>473829</v>
      </c>
      <c r="E10" s="713"/>
      <c r="F10" s="713"/>
    </row>
    <row r="11" spans="1:6" ht="26.25" customHeight="1" x14ac:dyDescent="0.4">
      <c r="B11" s="2919" t="s">
        <v>918</v>
      </c>
      <c r="C11" s="2919"/>
      <c r="D11" s="714"/>
      <c r="E11" s="714"/>
    </row>
    <row r="12" spans="1:6" ht="10.5" customHeight="1" x14ac:dyDescent="0.4"/>
    <row r="13" spans="1:6" ht="30" customHeight="1" thickBot="1" x14ac:dyDescent="0.45">
      <c r="A13" s="2920" t="s">
        <v>1443</v>
      </c>
      <c r="B13" s="2920"/>
      <c r="C13" s="2920"/>
      <c r="D13" s="2920"/>
      <c r="E13" s="2920"/>
    </row>
    <row r="14" spans="1:6" ht="22.5" customHeight="1" x14ac:dyDescent="0.4">
      <c r="A14" s="2910" t="s">
        <v>118</v>
      </c>
      <c r="B14" s="2911"/>
      <c r="C14" s="2923" t="s">
        <v>38</v>
      </c>
      <c r="D14" s="2924"/>
      <c r="E14" s="2911" t="s">
        <v>1444</v>
      </c>
    </row>
    <row r="15" spans="1:6" ht="22.5" customHeight="1" thickBot="1" x14ac:dyDescent="0.45">
      <c r="A15" s="2921"/>
      <c r="B15" s="2922"/>
      <c r="C15" s="1175">
        <v>1402</v>
      </c>
      <c r="D15" s="1175">
        <v>1403</v>
      </c>
      <c r="E15" s="2922"/>
    </row>
    <row r="16" spans="1:6" ht="26.25" customHeight="1" x14ac:dyDescent="0.55000000000000004">
      <c r="A16" s="2925" t="s">
        <v>1445</v>
      </c>
      <c r="B16" s="2926"/>
      <c r="C16" s="1176"/>
      <c r="D16" s="1176"/>
      <c r="E16" s="1177"/>
    </row>
    <row r="17" spans="1:5" ht="21.75" customHeight="1" x14ac:dyDescent="0.4">
      <c r="A17" s="2927" t="s">
        <v>1446</v>
      </c>
      <c r="B17" s="2928"/>
      <c r="C17" s="1042">
        <v>41</v>
      </c>
      <c r="D17" s="1042">
        <v>42</v>
      </c>
      <c r="E17" s="1178">
        <f>(D17-C17)/C17</f>
        <v>2.4390243902439025E-2</v>
      </c>
    </row>
    <row r="18" spans="1:5" ht="21.75" customHeight="1" x14ac:dyDescent="0.4">
      <c r="A18" s="2927" t="s">
        <v>1447</v>
      </c>
      <c r="B18" s="2928"/>
      <c r="C18" s="1179">
        <v>4630</v>
      </c>
      <c r="D18" s="1179">
        <v>5094</v>
      </c>
      <c r="E18" s="1178">
        <f t="shared" ref="E18:E19" si="0">(D18-C18)/C18</f>
        <v>0.1002159827213823</v>
      </c>
    </row>
    <row r="19" spans="1:5" ht="21.75" customHeight="1" x14ac:dyDescent="0.4">
      <c r="A19" s="2929" t="s">
        <v>1448</v>
      </c>
      <c r="B19" s="2930"/>
      <c r="C19" s="1180">
        <v>218</v>
      </c>
      <c r="D19" s="1180">
        <v>238</v>
      </c>
      <c r="E19" s="1178">
        <f t="shared" si="0"/>
        <v>9.1743119266055051E-2</v>
      </c>
    </row>
    <row r="20" spans="1:5" ht="21.75" customHeight="1" x14ac:dyDescent="0.4">
      <c r="A20" s="2931" t="s">
        <v>1449</v>
      </c>
      <c r="B20" s="2932"/>
      <c r="C20" s="1181"/>
      <c r="D20" s="1181"/>
      <c r="E20" s="1182"/>
    </row>
    <row r="21" spans="1:5" ht="21.75" customHeight="1" x14ac:dyDescent="0.4">
      <c r="A21" s="2916" t="s">
        <v>1450</v>
      </c>
      <c r="B21" s="2917"/>
      <c r="C21" s="1183">
        <v>6528</v>
      </c>
      <c r="D21" s="1183">
        <f>'84j'!C45</f>
        <v>8626</v>
      </c>
      <c r="E21" s="1184">
        <f>(D21-C21)/C21</f>
        <v>0.32138480392156865</v>
      </c>
    </row>
    <row r="22" spans="1:5" ht="21.75" customHeight="1" x14ac:dyDescent="0.4">
      <c r="A22" s="2910" t="s">
        <v>1451</v>
      </c>
      <c r="B22" s="2911"/>
      <c r="C22" s="1183">
        <v>42939</v>
      </c>
      <c r="D22" s="1183">
        <f>'84j'!E45</f>
        <v>40441</v>
      </c>
      <c r="E22" s="1184">
        <f t="shared" ref="E22:E24" si="1">(D22-C22)/C22</f>
        <v>-5.8175551363562263E-2</v>
      </c>
    </row>
    <row r="23" spans="1:5" ht="21.75" customHeight="1" x14ac:dyDescent="0.4">
      <c r="A23" s="2910" t="s">
        <v>1452</v>
      </c>
      <c r="B23" s="2911"/>
      <c r="C23" s="1183">
        <v>266926</v>
      </c>
      <c r="D23" s="1183">
        <f>'84j'!G45</f>
        <v>285735</v>
      </c>
      <c r="E23" s="1184">
        <f t="shared" si="1"/>
        <v>7.046522257104966E-2</v>
      </c>
    </row>
    <row r="24" spans="1:5" ht="21.75" customHeight="1" thickBot="1" x14ac:dyDescent="0.45">
      <c r="A24" s="2912" t="s">
        <v>1453</v>
      </c>
      <c r="B24" s="2913"/>
      <c r="C24" s="1183">
        <v>85</v>
      </c>
      <c r="D24" s="1183">
        <f>'84j'!F45</f>
        <v>74</v>
      </c>
      <c r="E24" s="1184">
        <f t="shared" si="1"/>
        <v>-0.12941176470588237</v>
      </c>
    </row>
    <row r="25" spans="1:5" ht="15" customHeight="1" x14ac:dyDescent="0.4">
      <c r="A25" s="2914" t="s">
        <v>1454</v>
      </c>
      <c r="B25" s="2914"/>
      <c r="C25" s="1185"/>
      <c r="D25" s="1185"/>
      <c r="E25" s="1185"/>
    </row>
    <row r="26" spans="1:5" ht="30" customHeight="1" x14ac:dyDescent="0.4">
      <c r="A26" s="2915" t="s">
        <v>1455</v>
      </c>
      <c r="B26" s="2915"/>
      <c r="C26" s="2915"/>
      <c r="D26" s="2915"/>
      <c r="E26" s="2915"/>
    </row>
    <row r="27" spans="1:5" ht="19.5" customHeight="1" x14ac:dyDescent="0.4">
      <c r="A27" s="2915" t="s">
        <v>1456</v>
      </c>
      <c r="B27" s="2915"/>
      <c r="C27" s="1186"/>
      <c r="D27" s="1186"/>
      <c r="E27" s="1186"/>
    </row>
    <row r="28" spans="1:5" ht="21" customHeight="1" x14ac:dyDescent="0.4">
      <c r="A28" s="1186"/>
      <c r="B28" s="1186"/>
      <c r="C28" s="1186"/>
      <c r="D28" s="1186"/>
      <c r="E28" s="1186"/>
    </row>
    <row r="31" spans="1:5" x14ac:dyDescent="0.4">
      <c r="C31" s="1187"/>
    </row>
    <row r="33" spans="2:7" x14ac:dyDescent="0.4">
      <c r="B33" s="2909"/>
      <c r="C33" s="2909"/>
      <c r="D33" s="2909"/>
      <c r="E33" s="2909"/>
      <c r="F33" s="2909"/>
      <c r="G33" s="2909"/>
    </row>
    <row r="34" spans="2:7" x14ac:dyDescent="0.4">
      <c r="B34" s="1118"/>
      <c r="C34" s="2909"/>
      <c r="D34" s="2909"/>
      <c r="E34" s="2909"/>
      <c r="F34" s="2909"/>
      <c r="G34" s="2909"/>
    </row>
    <row r="35" spans="2:7" x14ac:dyDescent="0.4">
      <c r="B35" s="1119"/>
      <c r="C35" s="2846"/>
      <c r="D35" s="2846"/>
      <c r="E35" s="2846"/>
      <c r="F35" s="2846"/>
      <c r="G35" s="2846"/>
    </row>
  </sheetData>
  <mergeCells count="21">
    <mergeCell ref="A21:B21"/>
    <mergeCell ref="B1:D1"/>
    <mergeCell ref="B11:C11"/>
    <mergeCell ref="A13:E13"/>
    <mergeCell ref="A14:B15"/>
    <mergeCell ref="C14:D14"/>
    <mergeCell ref="E14:E15"/>
    <mergeCell ref="A16:B16"/>
    <mergeCell ref="A17:B17"/>
    <mergeCell ref="A18:B18"/>
    <mergeCell ref="A19:B19"/>
    <mergeCell ref="A20:B20"/>
    <mergeCell ref="B33:G33"/>
    <mergeCell ref="C34:G34"/>
    <mergeCell ref="C35:G35"/>
    <mergeCell ref="A22:B22"/>
    <mergeCell ref="A23:B23"/>
    <mergeCell ref="A24:B24"/>
    <mergeCell ref="A25:B25"/>
    <mergeCell ref="A26:E26"/>
    <mergeCell ref="A27:B27"/>
  </mergeCells>
  <printOptions horizontalCentered="1" verticalCentered="1"/>
  <pageMargins left="0.74803149606299213" right="0.74803149606299213" top="0.59055118110236227" bottom="0.59055118110236227" header="0" footer="0"/>
  <pageSetup paperSize="9" firstPageNumber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J31"/>
  <sheetViews>
    <sheetView rightToLeft="1" zoomScale="140" zoomScaleNormal="140" workbookViewId="0">
      <selection activeCell="C20" sqref="C20"/>
    </sheetView>
  </sheetViews>
  <sheetFormatPr defaultColWidth="7" defaultRowHeight="24" x14ac:dyDescent="0.6"/>
  <cols>
    <col min="1" max="11" width="8" style="112" customWidth="1"/>
    <col min="12" max="16384" width="7" style="112"/>
  </cols>
  <sheetData>
    <row r="1" spans="1:10" x14ac:dyDescent="0.6">
      <c r="A1" s="2724" t="s">
        <v>213</v>
      </c>
      <c r="B1" s="2724"/>
      <c r="C1" s="2724"/>
      <c r="D1" s="2724"/>
      <c r="E1" s="2724"/>
      <c r="F1" s="2724"/>
      <c r="G1" s="2724"/>
      <c r="H1" s="2724"/>
      <c r="I1" s="2724"/>
      <c r="J1" s="2724"/>
    </row>
    <row r="2" spans="1:10" ht="24" customHeight="1" x14ac:dyDescent="0.6"/>
    <row r="3" spans="1:10" ht="24" customHeight="1" x14ac:dyDescent="0.6"/>
    <row r="4" spans="1:10" ht="24" customHeight="1" x14ac:dyDescent="0.6"/>
    <row r="5" spans="1:10" ht="24" customHeight="1" x14ac:dyDescent="0.6"/>
    <row r="6" spans="1:10" ht="24" customHeight="1" x14ac:dyDescent="0.6"/>
    <row r="7" spans="1:10" ht="24" customHeight="1" x14ac:dyDescent="0.6"/>
    <row r="8" spans="1:10" ht="24" customHeight="1" x14ac:dyDescent="0.6"/>
    <row r="9" spans="1:10" ht="24" customHeight="1" x14ac:dyDescent="0.6"/>
    <row r="10" spans="1:10" ht="24" customHeight="1" x14ac:dyDescent="0.6"/>
    <row r="11" spans="1:10" ht="24" customHeight="1" x14ac:dyDescent="0.6"/>
    <row r="12" spans="1:10" ht="24" customHeight="1" x14ac:dyDescent="0.6"/>
    <row r="13" spans="1:10" ht="24" customHeight="1" x14ac:dyDescent="0.6"/>
    <row r="14" spans="1:10" ht="24" customHeight="1" x14ac:dyDescent="0.6"/>
    <row r="15" spans="1:10" ht="24" customHeight="1" x14ac:dyDescent="0.6"/>
    <row r="16" spans="1:10" ht="24" customHeight="1" x14ac:dyDescent="0.6"/>
    <row r="17" ht="24" customHeight="1" x14ac:dyDescent="0.6"/>
    <row r="18" ht="24" customHeight="1" x14ac:dyDescent="0.6"/>
    <row r="19" ht="24" customHeight="1" x14ac:dyDescent="0.6"/>
    <row r="20" ht="24" customHeight="1" x14ac:dyDescent="0.6"/>
    <row r="21" ht="24" customHeight="1" x14ac:dyDescent="0.6"/>
    <row r="22" ht="24" customHeight="1" x14ac:dyDescent="0.6"/>
    <row r="23" ht="24" customHeight="1" x14ac:dyDescent="0.6"/>
    <row r="24" ht="24" customHeight="1" x14ac:dyDescent="0.6"/>
    <row r="25" ht="24" customHeight="1" x14ac:dyDescent="0.6"/>
    <row r="26" ht="24" customHeight="1" x14ac:dyDescent="0.6"/>
    <row r="27" ht="24" customHeight="1" x14ac:dyDescent="0.6"/>
    <row r="28" ht="24" customHeight="1" x14ac:dyDescent="0.6"/>
    <row r="29" ht="24" customHeight="1" x14ac:dyDescent="0.6"/>
    <row r="30" ht="24" customHeight="1" x14ac:dyDescent="0.6"/>
    <row r="31" ht="24" customHeight="1" x14ac:dyDescent="0.6"/>
  </sheetData>
  <mergeCells count="1">
    <mergeCell ref="A1:J1"/>
  </mergeCells>
  <printOptions horizontalCentered="1" verticalCentered="1"/>
  <pageMargins left="0.59055118110236227" right="0.59055118110236227" top="0.78740157480314965" bottom="0.78740157480314965" header="0" footer="0"/>
  <pageSetup paperSize="9" scale="95" firstPageNumber="24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G47"/>
  <sheetViews>
    <sheetView rightToLeft="1" topLeftCell="A10" zoomScale="68" zoomScaleNormal="68" workbookViewId="0">
      <selection activeCell="B15" sqref="B15"/>
    </sheetView>
  </sheetViews>
  <sheetFormatPr defaultColWidth="9.375" defaultRowHeight="15.75" x14ac:dyDescent="0.4"/>
  <cols>
    <col min="1" max="1" width="9.375" style="141"/>
    <col min="2" max="2" width="18.25" style="141" customWidth="1"/>
    <col min="3" max="7" width="15.125" style="141" customWidth="1"/>
    <col min="8" max="16384" width="9.375" style="141"/>
  </cols>
  <sheetData>
    <row r="1" ht="15.75" customHeight="1" x14ac:dyDescent="0.4"/>
    <row r="2" ht="15.75" customHeight="1" x14ac:dyDescent="0.4"/>
    <row r="3" ht="15.75" customHeight="1" x14ac:dyDescent="0.4"/>
    <row r="4" ht="15.75" customHeight="1" x14ac:dyDescent="0.4"/>
    <row r="5" ht="15.75" customHeight="1" x14ac:dyDescent="0.4"/>
    <row r="6" ht="15.75" customHeight="1" x14ac:dyDescent="0.4"/>
    <row r="7" ht="15.75" customHeight="1" x14ac:dyDescent="0.4"/>
    <row r="8" ht="15.75" customHeight="1" x14ac:dyDescent="0.4"/>
    <row r="9" ht="15.75" customHeight="1" x14ac:dyDescent="0.4"/>
    <row r="10" ht="15.75" customHeight="1" x14ac:dyDescent="0.4"/>
    <row r="11" ht="15.75" customHeight="1" x14ac:dyDescent="0.4"/>
    <row r="12" ht="15.75" customHeight="1" x14ac:dyDescent="0.4"/>
    <row r="13" ht="15.75" customHeight="1" x14ac:dyDescent="0.4"/>
    <row r="14" ht="15.75" customHeight="1" x14ac:dyDescent="0.4"/>
    <row r="15" ht="15.75" customHeight="1" x14ac:dyDescent="0.4"/>
    <row r="16" ht="15.75" customHeight="1" x14ac:dyDescent="0.4"/>
    <row r="17" spans="1:7" ht="15.75" customHeight="1" x14ac:dyDescent="0.4"/>
    <row r="18" spans="1:7" ht="15.75" customHeight="1" x14ac:dyDescent="0.4"/>
    <row r="19" spans="1:7" ht="15.75" customHeight="1" x14ac:dyDescent="0.4"/>
    <row r="20" spans="1:7" ht="5.25" customHeight="1" x14ac:dyDescent="0.4"/>
    <row r="21" spans="1:7" ht="24" customHeight="1" x14ac:dyDescent="0.4">
      <c r="B21" s="2933" t="s">
        <v>1360</v>
      </c>
      <c r="C21" s="2933"/>
      <c r="D21" s="2933"/>
      <c r="E21" s="2933"/>
      <c r="F21" s="2933"/>
      <c r="G21" s="2933"/>
    </row>
    <row r="22" spans="1:7" ht="45.75" customHeight="1" x14ac:dyDescent="0.4">
      <c r="B22" s="1107" t="s">
        <v>921</v>
      </c>
      <c r="C22" s="1107" t="s">
        <v>1361</v>
      </c>
      <c r="D22" s="1107" t="s">
        <v>1362</v>
      </c>
      <c r="E22" s="1107" t="s">
        <v>1363</v>
      </c>
      <c r="F22" s="1108" t="s">
        <v>1364</v>
      </c>
      <c r="G22" s="1107" t="s">
        <v>1365</v>
      </c>
    </row>
    <row r="23" spans="1:7" ht="24" customHeight="1" x14ac:dyDescent="0.4">
      <c r="A23" s="141">
        <v>1</v>
      </c>
      <c r="B23" s="1107" t="s">
        <v>1366</v>
      </c>
      <c r="C23" s="1109">
        <v>454</v>
      </c>
      <c r="D23" s="1109">
        <v>0</v>
      </c>
      <c r="E23" s="1109">
        <v>974</v>
      </c>
      <c r="F23" s="1109"/>
      <c r="G23" s="1109">
        <v>4558</v>
      </c>
    </row>
    <row r="24" spans="1:7" ht="24" customHeight="1" x14ac:dyDescent="0.4">
      <c r="A24" s="141">
        <f t="shared" ref="A24:A42" si="0">+A23+1</f>
        <v>2</v>
      </c>
      <c r="B24" s="1107" t="s">
        <v>1367</v>
      </c>
      <c r="C24" s="1109">
        <v>2759</v>
      </c>
      <c r="D24" s="1109">
        <v>0</v>
      </c>
      <c r="E24" s="1109">
        <v>1099</v>
      </c>
      <c r="F24" s="1109">
        <v>4</v>
      </c>
      <c r="G24" s="1109">
        <v>11991</v>
      </c>
    </row>
    <row r="25" spans="1:7" ht="24" customHeight="1" x14ac:dyDescent="0.4">
      <c r="A25" s="141">
        <f t="shared" si="0"/>
        <v>3</v>
      </c>
      <c r="B25" s="1107" t="s">
        <v>1368</v>
      </c>
      <c r="C25" s="1109">
        <v>1843</v>
      </c>
      <c r="D25" s="1109">
        <v>0</v>
      </c>
      <c r="E25" s="1109">
        <v>10583</v>
      </c>
      <c r="F25" s="1109">
        <v>69</v>
      </c>
      <c r="G25" s="1109">
        <v>35960</v>
      </c>
    </row>
    <row r="26" spans="1:7" ht="24" customHeight="1" x14ac:dyDescent="0.4">
      <c r="A26" s="141">
        <f t="shared" si="0"/>
        <v>4</v>
      </c>
      <c r="B26" s="1107" t="s">
        <v>1369</v>
      </c>
      <c r="C26" s="1109">
        <v>0</v>
      </c>
      <c r="D26" s="1109">
        <v>0</v>
      </c>
      <c r="E26" s="1109">
        <v>1233</v>
      </c>
      <c r="F26" s="1109"/>
      <c r="G26" s="1109">
        <v>3305</v>
      </c>
    </row>
    <row r="27" spans="1:7" ht="24" customHeight="1" x14ac:dyDescent="0.4">
      <c r="A27" s="141">
        <f t="shared" si="0"/>
        <v>5</v>
      </c>
      <c r="B27" s="1107" t="s">
        <v>1370</v>
      </c>
      <c r="C27" s="1109">
        <v>631</v>
      </c>
      <c r="D27" s="1109">
        <v>0</v>
      </c>
      <c r="E27" s="1109">
        <v>2789</v>
      </c>
      <c r="F27" s="1109"/>
      <c r="G27" s="1109">
        <v>34334</v>
      </c>
    </row>
    <row r="28" spans="1:7" ht="24" customHeight="1" x14ac:dyDescent="0.4">
      <c r="A28" s="141">
        <f t="shared" si="0"/>
        <v>6</v>
      </c>
      <c r="B28" s="1107" t="s">
        <v>1371</v>
      </c>
      <c r="C28" s="1109"/>
      <c r="D28" s="1109">
        <v>0</v>
      </c>
      <c r="E28" s="1109">
        <v>413</v>
      </c>
      <c r="F28" s="1109"/>
      <c r="G28" s="1109">
        <v>1380</v>
      </c>
    </row>
    <row r="29" spans="1:7" ht="24" customHeight="1" x14ac:dyDescent="0.4">
      <c r="A29" s="141">
        <f t="shared" si="0"/>
        <v>7</v>
      </c>
      <c r="B29" s="1107" t="s">
        <v>1372</v>
      </c>
      <c r="C29" s="1109">
        <v>0</v>
      </c>
      <c r="D29" s="1109">
        <v>0</v>
      </c>
      <c r="E29" s="1109">
        <v>1031</v>
      </c>
      <c r="F29" s="1109"/>
      <c r="G29" s="1109">
        <v>13629</v>
      </c>
    </row>
    <row r="30" spans="1:7" ht="24" customHeight="1" x14ac:dyDescent="0.4">
      <c r="A30" s="141">
        <f t="shared" si="0"/>
        <v>8</v>
      </c>
      <c r="B30" s="1107" t="s">
        <v>1373</v>
      </c>
      <c r="C30" s="1109">
        <v>0</v>
      </c>
      <c r="D30" s="1109">
        <v>0</v>
      </c>
      <c r="E30" s="1109">
        <v>2606</v>
      </c>
      <c r="F30" s="1109"/>
      <c r="G30" s="1109">
        <v>30807</v>
      </c>
    </row>
    <row r="31" spans="1:7" ht="24" customHeight="1" x14ac:dyDescent="0.4">
      <c r="A31" s="141">
        <f t="shared" si="0"/>
        <v>9</v>
      </c>
      <c r="B31" s="1107" t="s">
        <v>1374</v>
      </c>
      <c r="C31" s="1109"/>
      <c r="D31" s="1109">
        <v>0</v>
      </c>
      <c r="E31" s="1109">
        <v>2493</v>
      </c>
      <c r="F31" s="1109"/>
      <c r="G31" s="1109">
        <v>10519</v>
      </c>
    </row>
    <row r="32" spans="1:7" ht="24" customHeight="1" x14ac:dyDescent="0.4">
      <c r="A32" s="141">
        <f t="shared" si="0"/>
        <v>10</v>
      </c>
      <c r="B32" s="1107" t="s">
        <v>1375</v>
      </c>
      <c r="C32" s="1109">
        <v>0</v>
      </c>
      <c r="D32" s="1109">
        <v>0</v>
      </c>
      <c r="E32" s="1109">
        <v>741</v>
      </c>
      <c r="F32" s="1109"/>
      <c r="G32" s="1109">
        <v>10985</v>
      </c>
    </row>
    <row r="33" spans="1:7" ht="24" customHeight="1" x14ac:dyDescent="0.4">
      <c r="A33" s="141">
        <f t="shared" si="0"/>
        <v>11</v>
      </c>
      <c r="B33" s="1107" t="s">
        <v>1376</v>
      </c>
      <c r="C33" s="1109">
        <v>515</v>
      </c>
      <c r="D33" s="1109">
        <v>0</v>
      </c>
      <c r="E33" s="1109">
        <v>780</v>
      </c>
      <c r="F33" s="1109"/>
      <c r="G33" s="1109">
        <v>2136</v>
      </c>
    </row>
    <row r="34" spans="1:7" ht="24" customHeight="1" x14ac:dyDescent="0.4">
      <c r="A34" s="141">
        <f t="shared" si="0"/>
        <v>12</v>
      </c>
      <c r="B34" s="1107" t="s">
        <v>1377</v>
      </c>
      <c r="C34" s="1109"/>
      <c r="D34" s="1109">
        <v>0</v>
      </c>
      <c r="E34" s="1109">
        <v>711</v>
      </c>
      <c r="F34" s="1109"/>
      <c r="G34" s="1109">
        <v>8280</v>
      </c>
    </row>
    <row r="35" spans="1:7" ht="24" customHeight="1" x14ac:dyDescent="0.4">
      <c r="A35" s="141">
        <f t="shared" si="0"/>
        <v>13</v>
      </c>
      <c r="B35" s="1107" t="s">
        <v>1378</v>
      </c>
      <c r="C35" s="1109">
        <v>328</v>
      </c>
      <c r="D35" s="1109">
        <v>0</v>
      </c>
      <c r="E35" s="1109">
        <v>4857</v>
      </c>
      <c r="F35" s="1109">
        <v>1</v>
      </c>
      <c r="G35" s="1109">
        <v>68506</v>
      </c>
    </row>
    <row r="36" spans="1:7" ht="24" customHeight="1" x14ac:dyDescent="0.4">
      <c r="A36" s="141">
        <f t="shared" si="0"/>
        <v>14</v>
      </c>
      <c r="B36" s="1107" t="s">
        <v>1379</v>
      </c>
      <c r="C36" s="1109">
        <v>426</v>
      </c>
      <c r="D36" s="1109">
        <v>0</v>
      </c>
      <c r="E36" s="1109">
        <v>4343</v>
      </c>
      <c r="F36" s="1109"/>
      <c r="G36" s="1109">
        <v>16805</v>
      </c>
    </row>
    <row r="37" spans="1:7" ht="24" customHeight="1" x14ac:dyDescent="0.4">
      <c r="A37" s="141">
        <f t="shared" si="0"/>
        <v>15</v>
      </c>
      <c r="B37" s="1107" t="s">
        <v>1380</v>
      </c>
      <c r="C37" s="1109">
        <v>382</v>
      </c>
      <c r="D37" s="1109">
        <v>0</v>
      </c>
      <c r="E37" s="1109">
        <v>0</v>
      </c>
      <c r="F37" s="1109"/>
      <c r="G37" s="1109">
        <v>0</v>
      </c>
    </row>
    <row r="38" spans="1:7" ht="24" customHeight="1" x14ac:dyDescent="0.4">
      <c r="A38" s="141">
        <f t="shared" si="0"/>
        <v>16</v>
      </c>
      <c r="B38" s="1107" t="s">
        <v>1381</v>
      </c>
      <c r="C38" s="1109">
        <v>1003</v>
      </c>
      <c r="D38" s="1109">
        <v>0</v>
      </c>
      <c r="E38" s="1109">
        <v>1033</v>
      </c>
      <c r="F38" s="1109"/>
      <c r="G38" s="1109">
        <v>7485</v>
      </c>
    </row>
    <row r="39" spans="1:7" ht="24" customHeight="1" x14ac:dyDescent="0.4">
      <c r="A39" s="141">
        <f t="shared" si="0"/>
        <v>17</v>
      </c>
      <c r="B39" s="1107" t="s">
        <v>1382</v>
      </c>
      <c r="C39" s="1109">
        <v>17</v>
      </c>
      <c r="D39" s="1109">
        <v>0</v>
      </c>
      <c r="E39" s="1109">
        <v>88</v>
      </c>
      <c r="F39" s="1109"/>
      <c r="G39" s="1109">
        <v>560</v>
      </c>
    </row>
    <row r="40" spans="1:7" ht="24" customHeight="1" x14ac:dyDescent="0.4">
      <c r="A40" s="141">
        <f t="shared" si="0"/>
        <v>18</v>
      </c>
      <c r="B40" s="1107" t="s">
        <v>1383</v>
      </c>
      <c r="C40" s="1109">
        <v>0</v>
      </c>
      <c r="D40" s="1109">
        <v>0</v>
      </c>
      <c r="E40" s="1109">
        <v>1627</v>
      </c>
      <c r="F40" s="1109"/>
      <c r="G40" s="1109">
        <v>3782</v>
      </c>
    </row>
    <row r="41" spans="1:7" ht="24" customHeight="1" x14ac:dyDescent="0.4">
      <c r="A41" s="141">
        <f t="shared" si="0"/>
        <v>19</v>
      </c>
      <c r="B41" s="1107" t="s">
        <v>1384</v>
      </c>
      <c r="C41" s="1109">
        <v>0</v>
      </c>
      <c r="D41" s="1109">
        <v>0</v>
      </c>
      <c r="E41" s="1109">
        <v>2494</v>
      </c>
      <c r="F41" s="1109"/>
      <c r="G41" s="1109">
        <v>16801</v>
      </c>
    </row>
    <row r="42" spans="1:7" ht="24" customHeight="1" x14ac:dyDescent="0.4">
      <c r="A42" s="141">
        <f t="shared" si="0"/>
        <v>20</v>
      </c>
      <c r="B42" s="1107" t="s">
        <v>1385</v>
      </c>
      <c r="C42" s="1109">
        <v>268</v>
      </c>
      <c r="D42" s="1109">
        <v>0</v>
      </c>
      <c r="E42" s="1109">
        <v>70</v>
      </c>
      <c r="F42" s="1109"/>
      <c r="G42" s="1109">
        <v>381</v>
      </c>
    </row>
    <row r="43" spans="1:7" ht="24" customHeight="1" x14ac:dyDescent="0.4">
      <c r="B43" s="1107" t="s">
        <v>109</v>
      </c>
      <c r="C43" s="1109">
        <v>0</v>
      </c>
      <c r="D43" s="1109">
        <v>0</v>
      </c>
      <c r="E43" s="1109">
        <v>15</v>
      </c>
      <c r="F43" s="1109"/>
      <c r="G43" s="1109">
        <v>222</v>
      </c>
    </row>
    <row r="44" spans="1:7" ht="24" customHeight="1" x14ac:dyDescent="0.4">
      <c r="B44" s="1107" t="s">
        <v>1386</v>
      </c>
      <c r="C44" s="1109">
        <v>0</v>
      </c>
      <c r="D44" s="1109">
        <v>0</v>
      </c>
      <c r="E44" s="1109">
        <v>461</v>
      </c>
      <c r="F44" s="1109"/>
      <c r="G44" s="1109">
        <v>3309</v>
      </c>
    </row>
    <row r="45" spans="1:7" ht="24" customHeight="1" x14ac:dyDescent="0.4">
      <c r="B45" s="1107" t="s">
        <v>529</v>
      </c>
      <c r="C45" s="1110">
        <f t="shared" ref="C45:F45" si="1">SUM(C23:C44)</f>
        <v>8626</v>
      </c>
      <c r="D45" s="1110">
        <f t="shared" si="1"/>
        <v>0</v>
      </c>
      <c r="E45" s="1110">
        <f t="shared" si="1"/>
        <v>40441</v>
      </c>
      <c r="F45" s="1110">
        <f t="shared" si="1"/>
        <v>74</v>
      </c>
      <c r="G45" s="1110">
        <f>SUM(G23:G44)</f>
        <v>285735</v>
      </c>
    </row>
    <row r="46" spans="1:7" ht="6.75" customHeight="1" x14ac:dyDescent="0.4"/>
    <row r="47" spans="1:7" ht="18.75" customHeight="1" x14ac:dyDescent="0.4">
      <c r="B47" s="2934" t="s">
        <v>1387</v>
      </c>
      <c r="C47" s="2935"/>
      <c r="D47" s="2935"/>
      <c r="E47" s="2935"/>
      <c r="F47" s="2935"/>
      <c r="G47" s="1111"/>
    </row>
  </sheetData>
  <mergeCells count="2">
    <mergeCell ref="B21:G21"/>
    <mergeCell ref="B47:F47"/>
  </mergeCells>
  <printOptions horizontalCentered="1" verticalCentered="1"/>
  <pageMargins left="0.39370078740157483" right="0.39370078740157483" top="0.98425196850393704" bottom="0.98425196850393704" header="0" footer="0"/>
  <pageSetup paperSize="9" scale="81" firstPageNumber="6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F69"/>
  <sheetViews>
    <sheetView rightToLeft="1" view="pageBreakPreview" topLeftCell="A28" zoomScale="91" zoomScaleNormal="100" zoomScaleSheetLayoutView="91" workbookViewId="0">
      <selection activeCell="B34" sqref="B34"/>
    </sheetView>
  </sheetViews>
  <sheetFormatPr defaultColWidth="9" defaultRowHeight="15.75" x14ac:dyDescent="0.2"/>
  <cols>
    <col min="1" max="1" width="26.125" style="1817" customWidth="1"/>
    <col min="2" max="2" width="31.875" style="1817" customWidth="1"/>
    <col min="3" max="3" width="24.375" style="1817" customWidth="1"/>
    <col min="4" max="4" width="13.875" style="1817" customWidth="1"/>
    <col min="5" max="5" width="20.25" style="1817" customWidth="1"/>
    <col min="6" max="6" width="16.25" style="1817" customWidth="1"/>
    <col min="7" max="16384" width="9" style="1817"/>
  </cols>
  <sheetData>
    <row r="1" spans="1:6" ht="24" x14ac:dyDescent="0.2">
      <c r="A1" s="2939" t="s">
        <v>1904</v>
      </c>
      <c r="B1" s="2939"/>
      <c r="C1" s="2939"/>
      <c r="D1" s="2939"/>
      <c r="E1" s="2939"/>
      <c r="F1" s="2939"/>
    </row>
    <row r="2" spans="1:6" ht="58.5" customHeight="1" x14ac:dyDescent="0.2">
      <c r="A2" s="1818" t="s">
        <v>1152</v>
      </c>
      <c r="B2" s="1819" t="s">
        <v>1872</v>
      </c>
      <c r="C2" s="1819" t="s">
        <v>1873</v>
      </c>
      <c r="D2" s="1819" t="s">
        <v>1874</v>
      </c>
      <c r="E2" s="1820" t="s">
        <v>1875</v>
      </c>
      <c r="F2" s="1820" t="s">
        <v>1876</v>
      </c>
    </row>
    <row r="3" spans="1:6" ht="54.75" customHeight="1" x14ac:dyDescent="0.2">
      <c r="A3" s="1821">
        <v>1</v>
      </c>
      <c r="B3" s="1822" t="s">
        <v>1877</v>
      </c>
      <c r="C3" s="1822" t="s">
        <v>1878</v>
      </c>
      <c r="D3" s="1822">
        <v>67</v>
      </c>
      <c r="E3" s="1822">
        <v>12</v>
      </c>
      <c r="F3" s="1823">
        <f>E3/D3</f>
        <v>0.17910447761194029</v>
      </c>
    </row>
    <row r="4" spans="1:6" ht="54.75" customHeight="1" x14ac:dyDescent="0.2">
      <c r="A4" s="1821">
        <v>2</v>
      </c>
      <c r="B4" s="1822" t="s">
        <v>1879</v>
      </c>
      <c r="C4" s="1822" t="s">
        <v>1880</v>
      </c>
      <c r="D4" s="1822">
        <v>268</v>
      </c>
      <c r="E4" s="1822">
        <v>268</v>
      </c>
      <c r="F4" s="1823">
        <f t="shared" ref="F4:F6" si="0">E4/D4</f>
        <v>1</v>
      </c>
    </row>
    <row r="5" spans="1:6" ht="54.75" customHeight="1" x14ac:dyDescent="0.2">
      <c r="A5" s="1821">
        <v>3</v>
      </c>
      <c r="B5" s="1822" t="s">
        <v>1881</v>
      </c>
      <c r="C5" s="1822" t="s">
        <v>1474</v>
      </c>
      <c r="D5" s="1822">
        <v>486</v>
      </c>
      <c r="E5" s="1822">
        <v>398</v>
      </c>
      <c r="F5" s="1823">
        <f t="shared" si="0"/>
        <v>0.81893004115226342</v>
      </c>
    </row>
    <row r="6" spans="1:6" ht="54.75" customHeight="1" x14ac:dyDescent="0.2">
      <c r="A6" s="1821">
        <v>4</v>
      </c>
      <c r="B6" s="1822" t="s">
        <v>1882</v>
      </c>
      <c r="C6" s="1822" t="s">
        <v>1474</v>
      </c>
      <c r="D6" s="1822">
        <v>220</v>
      </c>
      <c r="E6" s="1822">
        <v>168</v>
      </c>
      <c r="F6" s="1823">
        <f t="shared" si="0"/>
        <v>0.76363636363636367</v>
      </c>
    </row>
    <row r="7" spans="1:6" ht="59.25" customHeight="1" x14ac:dyDescent="0.2">
      <c r="A7" s="1818" t="s">
        <v>1152</v>
      </c>
      <c r="B7" s="1824" t="s">
        <v>1883</v>
      </c>
      <c r="C7" s="1819" t="s">
        <v>1873</v>
      </c>
      <c r="D7" s="1825" t="s">
        <v>1884</v>
      </c>
      <c r="E7" s="1826" t="s">
        <v>1875</v>
      </c>
      <c r="F7" s="1826" t="s">
        <v>1876</v>
      </c>
    </row>
    <row r="8" spans="1:6" ht="57" customHeight="1" x14ac:dyDescent="0.2">
      <c r="A8" s="1821">
        <v>1</v>
      </c>
      <c r="B8" s="1822" t="s">
        <v>1885</v>
      </c>
      <c r="C8" s="1822" t="s">
        <v>1878</v>
      </c>
      <c r="D8" s="1822">
        <v>43</v>
      </c>
      <c r="E8" s="1822">
        <v>38</v>
      </c>
      <c r="F8" s="1823">
        <f t="shared" ref="F8:F12" si="1">E8/D8</f>
        <v>0.88372093023255816</v>
      </c>
    </row>
    <row r="9" spans="1:6" ht="54.75" customHeight="1" x14ac:dyDescent="0.2">
      <c r="A9" s="1821">
        <v>2</v>
      </c>
      <c r="B9" s="1822" t="s">
        <v>1886</v>
      </c>
      <c r="C9" s="1822" t="s">
        <v>1474</v>
      </c>
      <c r="D9" s="1822">
        <v>1398</v>
      </c>
      <c r="E9" s="1822">
        <v>1365</v>
      </c>
      <c r="F9" s="1823">
        <f t="shared" si="1"/>
        <v>0.97639484978540769</v>
      </c>
    </row>
    <row r="10" spans="1:6" ht="54.75" customHeight="1" x14ac:dyDescent="0.2">
      <c r="A10" s="1821">
        <v>3</v>
      </c>
      <c r="B10" s="1822" t="s">
        <v>1887</v>
      </c>
      <c r="C10" s="1822" t="s">
        <v>1474</v>
      </c>
      <c r="D10" s="1822">
        <v>220</v>
      </c>
      <c r="E10" s="1822">
        <v>70</v>
      </c>
      <c r="F10" s="1823">
        <f t="shared" si="1"/>
        <v>0.31818181818181818</v>
      </c>
    </row>
    <row r="11" spans="1:6" ht="39.75" customHeight="1" x14ac:dyDescent="0.2">
      <c r="A11" s="1821">
        <v>4</v>
      </c>
      <c r="B11" s="1822" t="s">
        <v>1888</v>
      </c>
      <c r="C11" s="1822" t="s">
        <v>1878</v>
      </c>
      <c r="D11" s="1822">
        <v>25</v>
      </c>
      <c r="E11" s="1822">
        <v>24</v>
      </c>
      <c r="F11" s="1823">
        <f t="shared" si="1"/>
        <v>0.96</v>
      </c>
    </row>
    <row r="12" spans="1:6" ht="39.75" customHeight="1" x14ac:dyDescent="0.2">
      <c r="A12" s="1821">
        <v>5</v>
      </c>
      <c r="B12" s="1822" t="s">
        <v>1889</v>
      </c>
      <c r="C12" s="1822" t="s">
        <v>1878</v>
      </c>
      <c r="D12" s="1822">
        <v>6</v>
      </c>
      <c r="E12" s="1822">
        <v>6</v>
      </c>
      <c r="F12" s="1823">
        <f t="shared" si="1"/>
        <v>1</v>
      </c>
    </row>
    <row r="13" spans="1:6" ht="31.5" customHeight="1" x14ac:dyDescent="0.2">
      <c r="A13" s="1827"/>
      <c r="B13" s="2940"/>
      <c r="C13" s="2940"/>
      <c r="D13" s="2940"/>
      <c r="E13" s="2940"/>
      <c r="F13" s="2940"/>
    </row>
    <row r="15" spans="1:6" ht="16.5" thickBot="1" x14ac:dyDescent="0.25"/>
    <row r="16" spans="1:6" ht="27" customHeight="1" x14ac:dyDescent="0.2">
      <c r="A16" s="2941" t="s">
        <v>1890</v>
      </c>
      <c r="B16" s="2943" t="s">
        <v>1891</v>
      </c>
      <c r="C16" s="2943"/>
      <c r="D16" s="2943"/>
      <c r="E16" s="2943"/>
    </row>
    <row r="17" spans="1:6" s="1829" customFormat="1" ht="19.5" thickBot="1" x14ac:dyDescent="0.25">
      <c r="A17" s="2942"/>
      <c r="B17" s="1828" t="s">
        <v>1892</v>
      </c>
      <c r="C17" s="1828" t="s">
        <v>1893</v>
      </c>
      <c r="D17" s="1828" t="s">
        <v>1894</v>
      </c>
      <c r="E17" s="1828" t="s">
        <v>1895</v>
      </c>
      <c r="F17" s="2944"/>
    </row>
    <row r="18" spans="1:6" s="1829" customFormat="1" ht="66.75" customHeight="1" x14ac:dyDescent="0.2">
      <c r="A18" s="1830" t="s">
        <v>201</v>
      </c>
      <c r="B18" s="1831">
        <v>33</v>
      </c>
      <c r="C18" s="1831">
        <v>0</v>
      </c>
      <c r="D18" s="1831">
        <v>0</v>
      </c>
      <c r="E18" s="1831">
        <f>SUM(B18:D18)</f>
        <v>33</v>
      </c>
      <c r="F18" s="2944"/>
    </row>
    <row r="19" spans="1:6" s="1829" customFormat="1" ht="30.75" customHeight="1" x14ac:dyDescent="0.2">
      <c r="A19" s="1832" t="s">
        <v>198</v>
      </c>
      <c r="B19" s="1833">
        <v>0</v>
      </c>
      <c r="C19" s="1833">
        <v>3</v>
      </c>
      <c r="D19" s="1833">
        <v>6</v>
      </c>
      <c r="E19" s="1831">
        <f t="shared" ref="E19:E38" si="2">SUM(B19:D19)</f>
        <v>9</v>
      </c>
      <c r="F19" s="1834"/>
    </row>
    <row r="20" spans="1:6" s="1829" customFormat="1" ht="18.75" x14ac:dyDescent="0.2">
      <c r="A20" s="1832" t="s">
        <v>97</v>
      </c>
      <c r="B20" s="1833">
        <v>0</v>
      </c>
      <c r="C20" s="1833">
        <v>28</v>
      </c>
      <c r="D20" s="1833">
        <v>3</v>
      </c>
      <c r="E20" s="1831">
        <f t="shared" si="2"/>
        <v>31</v>
      </c>
      <c r="F20" s="1834"/>
    </row>
    <row r="21" spans="1:6" s="1829" customFormat="1" ht="18.75" x14ac:dyDescent="0.2">
      <c r="A21" s="1832" t="s">
        <v>102</v>
      </c>
      <c r="B21" s="1833">
        <v>3</v>
      </c>
      <c r="C21" s="1833">
        <v>0</v>
      </c>
      <c r="D21" s="1833">
        <v>16</v>
      </c>
      <c r="E21" s="1831">
        <f t="shared" si="2"/>
        <v>19</v>
      </c>
      <c r="F21" s="1834"/>
    </row>
    <row r="22" spans="1:6" s="1829" customFormat="1" ht="18.75" x14ac:dyDescent="0.2">
      <c r="A22" s="1832" t="s">
        <v>107</v>
      </c>
      <c r="B22" s="1833">
        <v>0</v>
      </c>
      <c r="C22" s="1833">
        <v>7</v>
      </c>
      <c r="D22" s="1833">
        <v>1</v>
      </c>
      <c r="E22" s="1831">
        <f t="shared" si="2"/>
        <v>8</v>
      </c>
      <c r="F22" s="1834"/>
    </row>
    <row r="23" spans="1:6" s="1829" customFormat="1" ht="18.75" x14ac:dyDescent="0.2">
      <c r="A23" s="1832" t="s">
        <v>106</v>
      </c>
      <c r="B23" s="1833">
        <v>0</v>
      </c>
      <c r="C23" s="1833">
        <v>0</v>
      </c>
      <c r="D23" s="1833">
        <v>0</v>
      </c>
      <c r="E23" s="1831">
        <f t="shared" si="2"/>
        <v>0</v>
      </c>
      <c r="F23" s="1834"/>
    </row>
    <row r="24" spans="1:6" s="1829" customFormat="1" ht="18.75" x14ac:dyDescent="0.2">
      <c r="A24" s="1832" t="s">
        <v>99</v>
      </c>
      <c r="B24" s="1833">
        <v>0</v>
      </c>
      <c r="C24" s="1833">
        <v>23</v>
      </c>
      <c r="D24" s="1833">
        <v>0</v>
      </c>
      <c r="E24" s="1831">
        <f t="shared" si="2"/>
        <v>23</v>
      </c>
      <c r="F24" s="1834"/>
    </row>
    <row r="25" spans="1:6" s="1829" customFormat="1" ht="18.75" x14ac:dyDescent="0.2">
      <c r="A25" s="1832" t="s">
        <v>111</v>
      </c>
      <c r="B25" s="1833">
        <v>0</v>
      </c>
      <c r="C25" s="1833">
        <v>0</v>
      </c>
      <c r="D25" s="1833">
        <v>11</v>
      </c>
      <c r="E25" s="1831">
        <f t="shared" si="2"/>
        <v>11</v>
      </c>
      <c r="F25" s="1834"/>
    </row>
    <row r="26" spans="1:6" s="1829" customFormat="1" ht="18.75" x14ac:dyDescent="0.2">
      <c r="A26" s="1832" t="s">
        <v>96</v>
      </c>
      <c r="B26" s="1833">
        <v>0</v>
      </c>
      <c r="C26" s="1833">
        <v>34</v>
      </c>
      <c r="D26" s="1833">
        <v>0</v>
      </c>
      <c r="E26" s="1831">
        <f t="shared" si="2"/>
        <v>34</v>
      </c>
      <c r="F26" s="1834"/>
    </row>
    <row r="27" spans="1:6" s="1829" customFormat="1" ht="18.75" x14ac:dyDescent="0.2">
      <c r="A27" s="1832" t="s">
        <v>925</v>
      </c>
      <c r="B27" s="1833">
        <v>0</v>
      </c>
      <c r="C27" s="1833">
        <v>0</v>
      </c>
      <c r="D27" s="1833">
        <v>0</v>
      </c>
      <c r="E27" s="1831">
        <f t="shared" si="2"/>
        <v>0</v>
      </c>
      <c r="F27" s="1834"/>
    </row>
    <row r="28" spans="1:6" s="1829" customFormat="1" ht="18.75" x14ac:dyDescent="0.2">
      <c r="A28" s="1832" t="s">
        <v>1896</v>
      </c>
      <c r="B28" s="1833">
        <v>0</v>
      </c>
      <c r="C28" s="1833">
        <v>27</v>
      </c>
      <c r="D28" s="1833">
        <v>0</v>
      </c>
      <c r="E28" s="1831">
        <f t="shared" si="2"/>
        <v>27</v>
      </c>
      <c r="F28" s="1834"/>
    </row>
    <row r="29" spans="1:6" s="1829" customFormat="1" ht="18.75" x14ac:dyDescent="0.2">
      <c r="A29" s="1832" t="s">
        <v>1897</v>
      </c>
      <c r="B29" s="1833">
        <v>0</v>
      </c>
      <c r="C29" s="1833">
        <v>0</v>
      </c>
      <c r="D29" s="1833">
        <v>0</v>
      </c>
      <c r="E29" s="1831">
        <f t="shared" si="2"/>
        <v>0</v>
      </c>
      <c r="F29" s="1834"/>
    </row>
    <row r="30" spans="1:6" s="1829" customFormat="1" ht="18.75" x14ac:dyDescent="0.2">
      <c r="A30" s="1832" t="s">
        <v>110</v>
      </c>
      <c r="B30" s="1833">
        <v>15</v>
      </c>
      <c r="C30" s="1833">
        <v>0</v>
      </c>
      <c r="D30" s="1833">
        <v>1</v>
      </c>
      <c r="E30" s="1831">
        <f t="shared" si="2"/>
        <v>16</v>
      </c>
      <c r="F30" s="1834"/>
    </row>
    <row r="31" spans="1:6" s="1829" customFormat="1" ht="18.75" x14ac:dyDescent="0.2">
      <c r="A31" s="1832" t="s">
        <v>104</v>
      </c>
      <c r="B31" s="1833">
        <v>0</v>
      </c>
      <c r="C31" s="1833">
        <v>0</v>
      </c>
      <c r="D31" s="1833">
        <v>0</v>
      </c>
      <c r="E31" s="1831">
        <f t="shared" si="2"/>
        <v>0</v>
      </c>
      <c r="F31" s="1834"/>
    </row>
    <row r="32" spans="1:6" s="1829" customFormat="1" ht="18.75" x14ac:dyDescent="0.2">
      <c r="A32" s="1832" t="s">
        <v>108</v>
      </c>
      <c r="B32" s="1833">
        <v>0</v>
      </c>
      <c r="C32" s="1833">
        <v>8</v>
      </c>
      <c r="D32" s="1833">
        <v>7</v>
      </c>
      <c r="E32" s="1831">
        <f t="shared" si="2"/>
        <v>15</v>
      </c>
      <c r="F32" s="1834"/>
    </row>
    <row r="33" spans="1:6" s="1829" customFormat="1" ht="18.75" x14ac:dyDescent="0.2">
      <c r="A33" s="1832" t="s">
        <v>105</v>
      </c>
      <c r="B33" s="1833">
        <v>0</v>
      </c>
      <c r="C33" s="1833">
        <v>4</v>
      </c>
      <c r="D33" s="1833">
        <v>0</v>
      </c>
      <c r="E33" s="1831">
        <f t="shared" si="2"/>
        <v>4</v>
      </c>
      <c r="F33" s="1834"/>
    </row>
    <row r="34" spans="1:6" s="1829" customFormat="1" ht="18.75" x14ac:dyDescent="0.2">
      <c r="A34" s="1832" t="s">
        <v>112</v>
      </c>
      <c r="B34" s="1833">
        <v>0</v>
      </c>
      <c r="C34" s="1833">
        <v>4</v>
      </c>
      <c r="D34" s="1833">
        <v>7</v>
      </c>
      <c r="E34" s="1831">
        <f t="shared" si="2"/>
        <v>11</v>
      </c>
      <c r="F34" s="1834"/>
    </row>
    <row r="35" spans="1:6" s="1829" customFormat="1" ht="18.75" x14ac:dyDescent="0.2">
      <c r="A35" s="1832" t="s">
        <v>101</v>
      </c>
      <c r="B35" s="1833">
        <v>0</v>
      </c>
      <c r="C35" s="1833">
        <v>22</v>
      </c>
      <c r="D35" s="1833">
        <v>0</v>
      </c>
      <c r="E35" s="1831">
        <f t="shared" si="2"/>
        <v>22</v>
      </c>
      <c r="F35" s="1834"/>
    </row>
    <row r="36" spans="1:6" s="1829" customFormat="1" ht="18.75" x14ac:dyDescent="0.2">
      <c r="A36" s="1832" t="s">
        <v>95</v>
      </c>
      <c r="B36" s="1833">
        <v>0</v>
      </c>
      <c r="C36" s="1833">
        <v>38</v>
      </c>
      <c r="D36" s="1833">
        <v>1</v>
      </c>
      <c r="E36" s="1831">
        <f t="shared" si="2"/>
        <v>39</v>
      </c>
      <c r="F36" s="1834"/>
    </row>
    <row r="37" spans="1:6" s="1829" customFormat="1" ht="18.75" x14ac:dyDescent="0.2">
      <c r="A37" s="1835" t="s">
        <v>588</v>
      </c>
      <c r="B37" s="1833">
        <v>1</v>
      </c>
      <c r="C37" s="1836">
        <v>0</v>
      </c>
      <c r="D37" s="1836">
        <v>4</v>
      </c>
      <c r="E37" s="1831">
        <f t="shared" si="2"/>
        <v>5</v>
      </c>
      <c r="F37" s="1834"/>
    </row>
    <row r="38" spans="1:6" s="1829" customFormat="1" ht="19.5" thickBot="1" x14ac:dyDescent="0.25">
      <c r="A38" s="1835" t="s">
        <v>109</v>
      </c>
      <c r="B38" s="1836">
        <v>0</v>
      </c>
      <c r="C38" s="1836">
        <v>0</v>
      </c>
      <c r="D38" s="1836">
        <v>0</v>
      </c>
      <c r="E38" s="1831">
        <f t="shared" si="2"/>
        <v>0</v>
      </c>
      <c r="F38" s="1834"/>
    </row>
    <row r="39" spans="1:6" s="1829" customFormat="1" ht="20.25" thickTop="1" thickBot="1" x14ac:dyDescent="0.25">
      <c r="A39" s="1837" t="s">
        <v>1855</v>
      </c>
      <c r="B39" s="1838">
        <f>SUM(B18:B38)</f>
        <v>52</v>
      </c>
      <c r="C39" s="1838">
        <f>SUM(C18:C38)</f>
        <v>198</v>
      </c>
      <c r="D39" s="1838">
        <f>SUM(D18:D38)</f>
        <v>57</v>
      </c>
      <c r="E39" s="1838">
        <f>SUM(B39:D39)</f>
        <v>307</v>
      </c>
      <c r="F39" s="1834"/>
    </row>
    <row r="40" spans="1:6" s="1829" customFormat="1" ht="21.75" customHeight="1" thickTop="1" x14ac:dyDescent="0.2">
      <c r="A40" s="2936" t="s">
        <v>1898</v>
      </c>
      <c r="B40" s="2936"/>
      <c r="C40" s="2936"/>
      <c r="D40" s="2936"/>
      <c r="E40" s="2936"/>
      <c r="F40" s="1839"/>
    </row>
    <row r="41" spans="1:6" ht="21" x14ac:dyDescent="0.2">
      <c r="A41" s="2936"/>
      <c r="B41" s="2936"/>
      <c r="C41" s="2936"/>
      <c r="D41" s="2936"/>
      <c r="E41" s="2936"/>
      <c r="F41" s="2936"/>
    </row>
    <row r="42" spans="1:6" ht="21" x14ac:dyDescent="0.2">
      <c r="A42" s="2936"/>
      <c r="B42" s="2936"/>
      <c r="C42" s="2936"/>
      <c r="D42" s="2936"/>
      <c r="E42" s="2936"/>
      <c r="F42" s="2936"/>
    </row>
    <row r="45" spans="1:6" ht="16.5" thickBot="1" x14ac:dyDescent="0.25"/>
    <row r="46" spans="1:6" ht="49.5" customHeight="1" thickTop="1" thickBot="1" x14ac:dyDescent="0.25">
      <c r="A46" s="1840" t="s">
        <v>1899</v>
      </c>
      <c r="B46" s="1841" t="s">
        <v>1900</v>
      </c>
      <c r="C46" s="1841" t="s">
        <v>1901</v>
      </c>
      <c r="D46" s="1842" t="s">
        <v>1855</v>
      </c>
    </row>
    <row r="47" spans="1:6" ht="18.75" x14ac:dyDescent="0.2">
      <c r="A47" s="1843" t="s">
        <v>201</v>
      </c>
      <c r="B47" s="1844">
        <v>190</v>
      </c>
      <c r="C47" s="1845">
        <v>1045</v>
      </c>
      <c r="D47" s="1846">
        <f>SUM(B47:C47)</f>
        <v>1235</v>
      </c>
    </row>
    <row r="48" spans="1:6" ht="18.75" x14ac:dyDescent="0.2">
      <c r="A48" s="1847" t="s">
        <v>198</v>
      </c>
      <c r="B48" s="1848">
        <v>0</v>
      </c>
      <c r="C48" s="1849">
        <v>696</v>
      </c>
      <c r="D48" s="1846">
        <f t="shared" ref="D48:D66" si="3">SUM(B48:C48)</f>
        <v>696</v>
      </c>
    </row>
    <row r="49" spans="1:4" ht="18.75" x14ac:dyDescent="0.2">
      <c r="A49" s="1847" t="s">
        <v>97</v>
      </c>
      <c r="B49" s="1848">
        <v>0</v>
      </c>
      <c r="C49" s="1849">
        <v>680</v>
      </c>
      <c r="D49" s="1846">
        <f t="shared" si="3"/>
        <v>680</v>
      </c>
    </row>
    <row r="50" spans="1:4" ht="18.75" x14ac:dyDescent="0.2">
      <c r="A50" s="1847" t="s">
        <v>102</v>
      </c>
      <c r="B50" s="1848">
        <v>0</v>
      </c>
      <c r="C50" s="1849">
        <v>355</v>
      </c>
      <c r="D50" s="1846">
        <f t="shared" si="3"/>
        <v>355</v>
      </c>
    </row>
    <row r="51" spans="1:4" ht="18.75" x14ac:dyDescent="0.2">
      <c r="A51" s="1847" t="s">
        <v>107</v>
      </c>
      <c r="B51" s="1848">
        <v>0</v>
      </c>
      <c r="C51" s="1849">
        <v>400</v>
      </c>
      <c r="D51" s="1846">
        <f t="shared" si="3"/>
        <v>400</v>
      </c>
    </row>
    <row r="52" spans="1:4" ht="18.75" x14ac:dyDescent="0.2">
      <c r="A52" s="1847" t="s">
        <v>106</v>
      </c>
      <c r="B52" s="1848">
        <v>10</v>
      </c>
      <c r="C52" s="1849">
        <v>301</v>
      </c>
      <c r="D52" s="1846">
        <f t="shared" si="3"/>
        <v>311</v>
      </c>
    </row>
    <row r="53" spans="1:4" ht="18.75" x14ac:dyDescent="0.2">
      <c r="A53" s="1847" t="s">
        <v>99</v>
      </c>
      <c r="B53" s="1848">
        <v>0</v>
      </c>
      <c r="C53" s="1849">
        <v>991</v>
      </c>
      <c r="D53" s="1846">
        <f t="shared" si="3"/>
        <v>991</v>
      </c>
    </row>
    <row r="54" spans="1:4" ht="18.75" x14ac:dyDescent="0.2">
      <c r="A54" s="1847" t="s">
        <v>111</v>
      </c>
      <c r="B54" s="1848">
        <v>119</v>
      </c>
      <c r="C54" s="1849">
        <v>210</v>
      </c>
      <c r="D54" s="1846">
        <f t="shared" si="3"/>
        <v>329</v>
      </c>
    </row>
    <row r="55" spans="1:4" ht="18.75" x14ac:dyDescent="0.2">
      <c r="A55" s="1847" t="s">
        <v>96</v>
      </c>
      <c r="B55" s="1848">
        <v>0</v>
      </c>
      <c r="C55" s="1849">
        <v>1040</v>
      </c>
      <c r="D55" s="1846">
        <f t="shared" si="3"/>
        <v>1040</v>
      </c>
    </row>
    <row r="56" spans="1:4" ht="18.75" x14ac:dyDescent="0.2">
      <c r="A56" s="1847" t="s">
        <v>199</v>
      </c>
      <c r="B56" s="1848">
        <v>315</v>
      </c>
      <c r="C56" s="1849">
        <v>335</v>
      </c>
      <c r="D56" s="1846">
        <f t="shared" si="3"/>
        <v>650</v>
      </c>
    </row>
    <row r="57" spans="1:4" ht="18.75" x14ac:dyDescent="0.2">
      <c r="A57" s="1847" t="s">
        <v>1896</v>
      </c>
      <c r="B57" s="1848">
        <v>0</v>
      </c>
      <c r="C57" s="1849">
        <v>1300</v>
      </c>
      <c r="D57" s="1846">
        <f t="shared" si="3"/>
        <v>1300</v>
      </c>
    </row>
    <row r="58" spans="1:4" ht="18.75" x14ac:dyDescent="0.2">
      <c r="A58" s="1847" t="s">
        <v>1897</v>
      </c>
      <c r="B58" s="1848">
        <v>68</v>
      </c>
      <c r="C58" s="1849">
        <v>144</v>
      </c>
      <c r="D58" s="1846">
        <f t="shared" si="3"/>
        <v>212</v>
      </c>
    </row>
    <row r="59" spans="1:4" ht="18.75" x14ac:dyDescent="0.2">
      <c r="A59" s="1850" t="s">
        <v>588</v>
      </c>
      <c r="B59" s="1848">
        <v>0</v>
      </c>
      <c r="C59" s="1849">
        <v>185</v>
      </c>
      <c r="D59" s="1846">
        <f t="shared" si="3"/>
        <v>185</v>
      </c>
    </row>
    <row r="60" spans="1:4" ht="18.75" x14ac:dyDescent="0.2">
      <c r="A60" s="1847" t="s">
        <v>1257</v>
      </c>
      <c r="B60" s="1848">
        <v>0</v>
      </c>
      <c r="C60" s="1849">
        <v>645</v>
      </c>
      <c r="D60" s="1846">
        <f t="shared" si="3"/>
        <v>645</v>
      </c>
    </row>
    <row r="61" spans="1:4" ht="18.75" x14ac:dyDescent="0.2">
      <c r="A61" s="1847" t="s">
        <v>935</v>
      </c>
      <c r="B61" s="1848">
        <v>0</v>
      </c>
      <c r="C61" s="1849">
        <v>476</v>
      </c>
      <c r="D61" s="1846">
        <f t="shared" si="3"/>
        <v>476</v>
      </c>
    </row>
    <row r="62" spans="1:4" ht="18.75" x14ac:dyDescent="0.2">
      <c r="A62" s="1847" t="s">
        <v>108</v>
      </c>
      <c r="B62" s="1848">
        <v>0</v>
      </c>
      <c r="C62" s="1849">
        <v>400</v>
      </c>
      <c r="D62" s="1846">
        <f t="shared" si="3"/>
        <v>400</v>
      </c>
    </row>
    <row r="63" spans="1:4" ht="18.75" x14ac:dyDescent="0.2">
      <c r="A63" s="1847" t="s">
        <v>105</v>
      </c>
      <c r="B63" s="1848">
        <v>0</v>
      </c>
      <c r="C63" s="1849">
        <v>551</v>
      </c>
      <c r="D63" s="1846">
        <f t="shared" si="3"/>
        <v>551</v>
      </c>
    </row>
    <row r="64" spans="1:4" ht="18.75" x14ac:dyDescent="0.2">
      <c r="A64" s="1847" t="s">
        <v>112</v>
      </c>
      <c r="B64" s="1848">
        <v>88</v>
      </c>
      <c r="C64" s="1849">
        <v>162</v>
      </c>
      <c r="D64" s="1846">
        <f t="shared" si="3"/>
        <v>250</v>
      </c>
    </row>
    <row r="65" spans="1:4" ht="18.75" x14ac:dyDescent="0.2">
      <c r="A65" s="1847" t="s">
        <v>101</v>
      </c>
      <c r="B65" s="1848">
        <v>0</v>
      </c>
      <c r="C65" s="1849">
        <v>700</v>
      </c>
      <c r="D65" s="1846">
        <f t="shared" si="3"/>
        <v>700</v>
      </c>
    </row>
    <row r="66" spans="1:4" ht="19.5" thickBot="1" x14ac:dyDescent="0.25">
      <c r="A66" s="1847" t="s">
        <v>95</v>
      </c>
      <c r="B66" s="1848">
        <v>0</v>
      </c>
      <c r="C66" s="1849">
        <v>870</v>
      </c>
      <c r="D66" s="1846">
        <f t="shared" si="3"/>
        <v>870</v>
      </c>
    </row>
    <row r="67" spans="1:4" ht="19.5" thickBot="1" x14ac:dyDescent="0.25">
      <c r="A67" s="1851" t="s">
        <v>170</v>
      </c>
      <c r="B67" s="1852">
        <f>SUM(B47:B66)</f>
        <v>790</v>
      </c>
      <c r="C67" s="1852">
        <f>SUM(C47:C66)</f>
        <v>11486</v>
      </c>
      <c r="D67" s="1852">
        <f>SUM(D47:D66)</f>
        <v>12276</v>
      </c>
    </row>
    <row r="68" spans="1:4" ht="18.75" x14ac:dyDescent="0.2">
      <c r="A68" s="2937" t="s">
        <v>1902</v>
      </c>
      <c r="B68" s="2937"/>
      <c r="C68" s="2937"/>
      <c r="D68" s="2937"/>
    </row>
    <row r="69" spans="1:4" ht="18.75" x14ac:dyDescent="0.2">
      <c r="A69" s="2938" t="s">
        <v>1903</v>
      </c>
      <c r="B69" s="2938"/>
      <c r="C69" s="2938"/>
      <c r="D69" s="2938"/>
    </row>
  </sheetData>
  <mergeCells count="10">
    <mergeCell ref="A41:F41"/>
    <mergeCell ref="A42:F42"/>
    <mergeCell ref="A68:D68"/>
    <mergeCell ref="A69:D69"/>
    <mergeCell ref="A1:F1"/>
    <mergeCell ref="B13:F13"/>
    <mergeCell ref="A16:A17"/>
    <mergeCell ref="B16:E16"/>
    <mergeCell ref="F17:F18"/>
    <mergeCell ref="A40:E40"/>
  </mergeCells>
  <printOptions horizontalCentered="1" verticalCentered="1"/>
  <pageMargins left="0.59055118110236227" right="0.59055118110236227" top="0.78740157480314965" bottom="0.59055118110236227" header="0" footer="0"/>
  <pageSetup paperSize="9" scale="57" firstPageNumber="69" orientation="portrait" r:id="rId1"/>
  <headerFooter alignWithMargins="0"/>
  <rowBreaks count="1" manualBreakCount="1">
    <brk id="18" max="16383" man="1"/>
  </rowBreaks>
  <colBreaks count="1" manualBreakCount="1">
    <brk id="6" max="1048575" man="1"/>
  </col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P71"/>
  <sheetViews>
    <sheetView rightToLeft="1" zoomScale="136" zoomScaleNormal="136" workbookViewId="0">
      <selection sqref="A1:N1"/>
    </sheetView>
  </sheetViews>
  <sheetFormatPr defaultColWidth="8" defaultRowHeight="19.5" x14ac:dyDescent="0.5"/>
  <cols>
    <col min="1" max="5" width="8.125" style="1225" customWidth="1"/>
    <col min="6" max="6" width="24.75" style="1225" customWidth="1"/>
    <col min="7" max="7" width="3.625" style="1225" customWidth="1"/>
    <col min="8" max="8" width="5.625" style="1225" bestFit="1" customWidth="1"/>
    <col min="9" max="11" width="8.125" style="1298" customWidth="1"/>
    <col min="12" max="12" width="8.125" style="1299" customWidth="1"/>
    <col min="13" max="13" width="8.125" style="1298" customWidth="1"/>
    <col min="14" max="14" width="24.75" style="1299" customWidth="1"/>
    <col min="15" max="15" width="3.625" style="1225" customWidth="1"/>
    <col min="16" max="16384" width="8" style="1225"/>
  </cols>
  <sheetData>
    <row r="1" spans="1:15" ht="24" customHeight="1" thickBot="1" x14ac:dyDescent="0.45">
      <c r="A1" s="2951" t="s">
        <v>1905</v>
      </c>
      <c r="B1" s="2951"/>
      <c r="C1" s="2951"/>
      <c r="D1" s="2951"/>
      <c r="E1" s="2951"/>
      <c r="F1" s="2951"/>
      <c r="G1" s="2952"/>
      <c r="H1" s="2952"/>
      <c r="I1" s="2951"/>
      <c r="J1" s="2951"/>
      <c r="K1" s="2951"/>
      <c r="L1" s="2951"/>
      <c r="M1" s="2951"/>
      <c r="N1" s="2951"/>
    </row>
    <row r="2" spans="1:15" ht="15" customHeight="1" x14ac:dyDescent="0.4">
      <c r="A2" s="1226" t="s">
        <v>1493</v>
      </c>
      <c r="B2" s="1227" t="s">
        <v>1494</v>
      </c>
      <c r="C2" s="1227" t="s">
        <v>1495</v>
      </c>
      <c r="D2" s="1227" t="s">
        <v>1496</v>
      </c>
      <c r="E2" s="1228" t="s">
        <v>1497</v>
      </c>
      <c r="F2" s="2953" t="s">
        <v>1498</v>
      </c>
      <c r="G2" s="2955" t="s">
        <v>1152</v>
      </c>
      <c r="H2" s="1229"/>
      <c r="I2" s="1226" t="s">
        <v>1493</v>
      </c>
      <c r="J2" s="1227" t="s">
        <v>1494</v>
      </c>
      <c r="K2" s="1227" t="s">
        <v>1495</v>
      </c>
      <c r="L2" s="1227" t="s">
        <v>1496</v>
      </c>
      <c r="M2" s="1228" t="s">
        <v>1497</v>
      </c>
      <c r="N2" s="2953" t="s">
        <v>1498</v>
      </c>
      <c r="O2" s="2955" t="s">
        <v>1152</v>
      </c>
    </row>
    <row r="3" spans="1:15" ht="15" customHeight="1" thickBot="1" x14ac:dyDescent="0.45">
      <c r="A3" s="1230" t="s">
        <v>1499</v>
      </c>
      <c r="B3" s="1231" t="s">
        <v>1500</v>
      </c>
      <c r="C3" s="1231" t="s">
        <v>1501</v>
      </c>
      <c r="D3" s="1231" t="s">
        <v>1502</v>
      </c>
      <c r="E3" s="1232" t="s">
        <v>1503</v>
      </c>
      <c r="F3" s="2954"/>
      <c r="G3" s="2956"/>
      <c r="H3" s="1229"/>
      <c r="I3" s="1230" t="s">
        <v>1499</v>
      </c>
      <c r="J3" s="1231" t="s">
        <v>1500</v>
      </c>
      <c r="K3" s="1231" t="s">
        <v>1501</v>
      </c>
      <c r="L3" s="1231" t="s">
        <v>1502</v>
      </c>
      <c r="M3" s="1232" t="s">
        <v>1503</v>
      </c>
      <c r="N3" s="2954"/>
      <c r="O3" s="2956"/>
    </row>
    <row r="4" spans="1:15" ht="12.75" customHeight="1" x14ac:dyDescent="0.4">
      <c r="A4" s="1233">
        <v>1387</v>
      </c>
      <c r="B4" s="1234">
        <v>1387</v>
      </c>
      <c r="C4" s="1234">
        <v>1386</v>
      </c>
      <c r="D4" s="1234">
        <v>1435</v>
      </c>
      <c r="E4" s="1235">
        <v>50</v>
      </c>
      <c r="F4" s="1236" t="s">
        <v>1504</v>
      </c>
      <c r="G4" s="1237">
        <v>53</v>
      </c>
      <c r="H4" s="1236"/>
      <c r="I4" s="1238">
        <v>1295</v>
      </c>
      <c r="J4" s="1239">
        <v>1295</v>
      </c>
      <c r="K4" s="1239">
        <v>1291</v>
      </c>
      <c r="L4" s="1239">
        <v>1435</v>
      </c>
      <c r="M4" s="1240">
        <v>148</v>
      </c>
      <c r="N4" s="1241" t="s">
        <v>1505</v>
      </c>
      <c r="O4" s="1242">
        <v>1</v>
      </c>
    </row>
    <row r="5" spans="1:15" ht="12.75" customHeight="1" x14ac:dyDescent="0.4">
      <c r="A5" s="1233">
        <v>1387</v>
      </c>
      <c r="B5" s="1234">
        <v>1387</v>
      </c>
      <c r="C5" s="1234">
        <v>1387</v>
      </c>
      <c r="D5" s="1234">
        <v>1435</v>
      </c>
      <c r="E5" s="1235">
        <v>42</v>
      </c>
      <c r="F5" s="1236" t="s">
        <v>1506</v>
      </c>
      <c r="G5" s="1237">
        <v>54</v>
      </c>
      <c r="H5" s="1236"/>
      <c r="I5" s="1233">
        <v>1350</v>
      </c>
      <c r="J5" s="1234">
        <v>1350</v>
      </c>
      <c r="K5" s="1234">
        <v>1291</v>
      </c>
      <c r="L5" s="1234">
        <v>1435</v>
      </c>
      <c r="M5" s="1235">
        <v>193</v>
      </c>
      <c r="N5" s="1243" t="s">
        <v>1507</v>
      </c>
      <c r="O5" s="1244">
        <v>2</v>
      </c>
    </row>
    <row r="6" spans="1:15" ht="12.75" customHeight="1" x14ac:dyDescent="0.4">
      <c r="A6" s="1233">
        <v>1387</v>
      </c>
      <c r="B6" s="1234">
        <v>1387</v>
      </c>
      <c r="C6" s="1234">
        <v>1386</v>
      </c>
      <c r="D6" s="1234">
        <v>1435</v>
      </c>
      <c r="E6" s="1235">
        <v>22</v>
      </c>
      <c r="F6" s="1236" t="s">
        <v>1508</v>
      </c>
      <c r="G6" s="1237">
        <v>55</v>
      </c>
      <c r="H6" s="1236"/>
      <c r="I6" s="1233">
        <v>1299</v>
      </c>
      <c r="J6" s="1234">
        <v>1299</v>
      </c>
      <c r="K6" s="1234">
        <v>1298</v>
      </c>
      <c r="L6" s="1234">
        <v>1676</v>
      </c>
      <c r="M6" s="1235">
        <v>94</v>
      </c>
      <c r="N6" s="1243" t="s">
        <v>1509</v>
      </c>
      <c r="O6" s="1244">
        <v>3</v>
      </c>
    </row>
    <row r="7" spans="1:15" ht="12.75" customHeight="1" x14ac:dyDescent="0.4">
      <c r="A7" s="1233">
        <v>1387</v>
      </c>
      <c r="B7" s="1234">
        <v>1387</v>
      </c>
      <c r="C7" s="1234">
        <v>1386</v>
      </c>
      <c r="D7" s="1234">
        <v>1435</v>
      </c>
      <c r="E7" s="1235">
        <v>7</v>
      </c>
      <c r="F7" s="1236" t="s">
        <v>1510</v>
      </c>
      <c r="G7" s="1237">
        <v>56</v>
      </c>
      <c r="H7" s="1236"/>
      <c r="I7" s="1233">
        <v>1317</v>
      </c>
      <c r="J7" s="1234">
        <v>1317</v>
      </c>
      <c r="K7" s="1234">
        <v>1306</v>
      </c>
      <c r="L7" s="1234">
        <v>1435</v>
      </c>
      <c r="M7" s="1235">
        <v>928</v>
      </c>
      <c r="N7" s="1243" t="s">
        <v>1511</v>
      </c>
      <c r="O7" s="1244">
        <v>4</v>
      </c>
    </row>
    <row r="8" spans="1:15" ht="12.75" customHeight="1" x14ac:dyDescent="0.4">
      <c r="A8" s="1233">
        <v>1388</v>
      </c>
      <c r="B8" s="1234">
        <v>1388</v>
      </c>
      <c r="C8" s="1234">
        <v>1369</v>
      </c>
      <c r="D8" s="1234">
        <v>1435</v>
      </c>
      <c r="E8" s="1235">
        <v>41</v>
      </c>
      <c r="F8" s="1236" t="s">
        <v>1512</v>
      </c>
      <c r="G8" s="1237">
        <v>57</v>
      </c>
      <c r="H8" s="1236"/>
      <c r="I8" s="1233">
        <v>1316</v>
      </c>
      <c r="J8" s="1234">
        <v>1315</v>
      </c>
      <c r="K8" s="1234">
        <v>1306</v>
      </c>
      <c r="L8" s="1234">
        <v>1435</v>
      </c>
      <c r="M8" s="1235">
        <v>461</v>
      </c>
      <c r="N8" s="1243" t="s">
        <v>1513</v>
      </c>
      <c r="O8" s="1244">
        <v>5</v>
      </c>
    </row>
    <row r="9" spans="1:15" ht="12.75" customHeight="1" x14ac:dyDescent="0.4">
      <c r="A9" s="1233">
        <v>1388</v>
      </c>
      <c r="B9" s="1234">
        <v>1388</v>
      </c>
      <c r="C9" s="1234">
        <v>1387</v>
      </c>
      <c r="D9" s="1234">
        <v>1435</v>
      </c>
      <c r="E9" s="1235">
        <v>10</v>
      </c>
      <c r="F9" s="1236" t="s">
        <v>1514</v>
      </c>
      <c r="G9" s="1237">
        <v>58</v>
      </c>
      <c r="H9" s="1236"/>
      <c r="I9" s="1233">
        <v>1336</v>
      </c>
      <c r="J9" s="1234">
        <v>1335</v>
      </c>
      <c r="K9" s="1234">
        <v>1316</v>
      </c>
      <c r="L9" s="1234">
        <v>1435</v>
      </c>
      <c r="M9" s="1235">
        <v>809</v>
      </c>
      <c r="N9" s="1243" t="s">
        <v>1515</v>
      </c>
      <c r="O9" s="1244">
        <v>6</v>
      </c>
    </row>
    <row r="10" spans="1:15" ht="12.75" customHeight="1" x14ac:dyDescent="0.4">
      <c r="A10" s="1233">
        <v>1388</v>
      </c>
      <c r="B10" s="1234">
        <v>1388</v>
      </c>
      <c r="C10" s="1234">
        <v>1387</v>
      </c>
      <c r="D10" s="1234">
        <v>1435</v>
      </c>
      <c r="E10" s="1235">
        <v>87</v>
      </c>
      <c r="F10" s="1236" t="s">
        <v>1516</v>
      </c>
      <c r="G10" s="1237">
        <v>59</v>
      </c>
      <c r="H10" s="1236"/>
      <c r="I10" s="1233">
        <v>1337</v>
      </c>
      <c r="J10" s="1234">
        <v>1336</v>
      </c>
      <c r="K10" s="1234">
        <v>1317</v>
      </c>
      <c r="L10" s="1234">
        <v>1435</v>
      </c>
      <c r="M10" s="1235">
        <v>736</v>
      </c>
      <c r="N10" s="1243" t="s">
        <v>1517</v>
      </c>
      <c r="O10" s="1244">
        <v>7</v>
      </c>
    </row>
    <row r="11" spans="1:15" ht="12.75" customHeight="1" x14ac:dyDescent="0.4">
      <c r="A11" s="1245">
        <v>1388</v>
      </c>
      <c r="B11" s="1246">
        <v>1388</v>
      </c>
      <c r="C11" s="1246">
        <v>1380</v>
      </c>
      <c r="D11" s="1246">
        <v>1435</v>
      </c>
      <c r="E11" s="1247">
        <v>265</v>
      </c>
      <c r="F11" s="1236" t="s">
        <v>1518</v>
      </c>
      <c r="G11" s="1237">
        <v>60</v>
      </c>
      <c r="H11" s="1236"/>
      <c r="I11" s="1233">
        <v>1350</v>
      </c>
      <c r="J11" s="1234">
        <v>1350</v>
      </c>
      <c r="K11" s="1234">
        <v>1317</v>
      </c>
      <c r="L11" s="1234">
        <v>1435</v>
      </c>
      <c r="M11" s="1235">
        <v>848</v>
      </c>
      <c r="N11" s="1243" t="s">
        <v>1519</v>
      </c>
      <c r="O11" s="1244">
        <v>8</v>
      </c>
    </row>
    <row r="12" spans="1:15" ht="12.75" customHeight="1" x14ac:dyDescent="0.4">
      <c r="A12" s="1245">
        <v>1389</v>
      </c>
      <c r="B12" s="1246">
        <v>1389</v>
      </c>
      <c r="C12" s="1246">
        <v>1380</v>
      </c>
      <c r="D12" s="1246">
        <v>1435</v>
      </c>
      <c r="E12" s="1247">
        <v>315</v>
      </c>
      <c r="F12" s="1236" t="s">
        <v>1520</v>
      </c>
      <c r="G12" s="1237">
        <v>61</v>
      </c>
      <c r="H12" s="1236"/>
      <c r="I12" s="1233">
        <v>1321</v>
      </c>
      <c r="J12" s="1234">
        <v>1321</v>
      </c>
      <c r="K12" s="1234">
        <v>1320</v>
      </c>
      <c r="L12" s="1234">
        <v>1435</v>
      </c>
      <c r="M12" s="1235">
        <v>121</v>
      </c>
      <c r="N12" s="1243" t="s">
        <v>1521</v>
      </c>
      <c r="O12" s="1244">
        <v>9</v>
      </c>
    </row>
    <row r="13" spans="1:15" ht="12.75" customHeight="1" x14ac:dyDescent="0.4">
      <c r="A13" s="1245">
        <v>1390</v>
      </c>
      <c r="B13" s="1246">
        <v>1390</v>
      </c>
      <c r="C13" s="1246">
        <v>1387</v>
      </c>
      <c r="D13" s="1246">
        <v>1435</v>
      </c>
      <c r="E13" s="1247">
        <v>16</v>
      </c>
      <c r="F13" s="1236" t="s">
        <v>1522</v>
      </c>
      <c r="G13" s="1237">
        <v>62</v>
      </c>
      <c r="H13" s="1236"/>
      <c r="I13" s="1233">
        <v>1329</v>
      </c>
      <c r="J13" s="1234">
        <v>1329</v>
      </c>
      <c r="K13" s="1234">
        <v>1328</v>
      </c>
      <c r="L13" s="1234">
        <v>1435</v>
      </c>
      <c r="M13" s="1235">
        <v>12</v>
      </c>
      <c r="N13" s="1243" t="s">
        <v>1523</v>
      </c>
      <c r="O13" s="1244">
        <v>10</v>
      </c>
    </row>
    <row r="14" spans="1:15" ht="12.75" customHeight="1" x14ac:dyDescent="0.4">
      <c r="A14" s="1245">
        <v>1390</v>
      </c>
      <c r="B14" s="1246">
        <v>1390</v>
      </c>
      <c r="C14" s="1248" t="s">
        <v>25</v>
      </c>
      <c r="D14" s="1246">
        <v>1435</v>
      </c>
      <c r="E14" s="1247">
        <v>90</v>
      </c>
      <c r="F14" s="1236" t="s">
        <v>1524</v>
      </c>
      <c r="G14" s="1237">
        <v>63</v>
      </c>
      <c r="H14" s="1236"/>
      <c r="I14" s="1233">
        <v>1339</v>
      </c>
      <c r="J14" s="1234">
        <v>1339</v>
      </c>
      <c r="K14" s="1234">
        <v>1338</v>
      </c>
      <c r="L14" s="1234">
        <v>1435</v>
      </c>
      <c r="M14" s="1235">
        <v>35</v>
      </c>
      <c r="N14" s="1243" t="s">
        <v>1525</v>
      </c>
      <c r="O14" s="1244">
        <v>11</v>
      </c>
    </row>
    <row r="15" spans="1:15" ht="12.75" customHeight="1" x14ac:dyDescent="0.4">
      <c r="A15" s="1245">
        <v>1390</v>
      </c>
      <c r="B15" s="1246">
        <v>1390</v>
      </c>
      <c r="C15" s="1248" t="s">
        <v>25</v>
      </c>
      <c r="D15" s="1246">
        <v>1435</v>
      </c>
      <c r="E15" s="1247">
        <v>49</v>
      </c>
      <c r="F15" s="1236" t="s">
        <v>1526</v>
      </c>
      <c r="G15" s="1237">
        <v>64</v>
      </c>
      <c r="H15" s="1236"/>
      <c r="I15" s="1233">
        <v>1350</v>
      </c>
      <c r="J15" s="1234">
        <v>1348</v>
      </c>
      <c r="K15" s="1234">
        <v>1347</v>
      </c>
      <c r="L15" s="1234">
        <v>1435</v>
      </c>
      <c r="M15" s="1235">
        <v>111</v>
      </c>
      <c r="N15" s="1243" t="s">
        <v>1527</v>
      </c>
      <c r="O15" s="1244">
        <v>12</v>
      </c>
    </row>
    <row r="16" spans="1:15" ht="12.75" customHeight="1" x14ac:dyDescent="0.4">
      <c r="A16" s="1245">
        <v>1390</v>
      </c>
      <c r="B16" s="1246">
        <v>1390</v>
      </c>
      <c r="C16" s="1246">
        <v>1384</v>
      </c>
      <c r="D16" s="1246">
        <v>1435</v>
      </c>
      <c r="E16" s="1247">
        <v>12</v>
      </c>
      <c r="F16" s="1236" t="s">
        <v>1528</v>
      </c>
      <c r="G16" s="1237">
        <v>65</v>
      </c>
      <c r="H16" s="1236"/>
      <c r="I16" s="1233">
        <v>1357</v>
      </c>
      <c r="J16" s="1234">
        <v>1356</v>
      </c>
      <c r="K16" s="1234">
        <v>1353</v>
      </c>
      <c r="L16" s="1234">
        <v>1435</v>
      </c>
      <c r="M16" s="1235">
        <v>78</v>
      </c>
      <c r="N16" s="1243" t="s">
        <v>1529</v>
      </c>
      <c r="O16" s="1244">
        <v>13</v>
      </c>
    </row>
    <row r="17" spans="1:15" ht="12.75" customHeight="1" x14ac:dyDescent="0.4">
      <c r="A17" s="1245">
        <v>1390</v>
      </c>
      <c r="B17" s="1246">
        <v>1390</v>
      </c>
      <c r="C17" s="1246">
        <v>1387</v>
      </c>
      <c r="D17" s="1246">
        <v>1435</v>
      </c>
      <c r="E17" s="1247">
        <v>32</v>
      </c>
      <c r="F17" s="1236" t="s">
        <v>1530</v>
      </c>
      <c r="G17" s="1237">
        <v>66</v>
      </c>
      <c r="H17" s="1236"/>
      <c r="I17" s="1233">
        <v>1373</v>
      </c>
      <c r="J17" s="1234">
        <v>1373</v>
      </c>
      <c r="K17" s="1234">
        <v>1360</v>
      </c>
      <c r="L17" s="1234">
        <v>1435</v>
      </c>
      <c r="M17" s="1235">
        <v>626</v>
      </c>
      <c r="N17" s="1243" t="s">
        <v>1531</v>
      </c>
      <c r="O17" s="1244">
        <v>14</v>
      </c>
    </row>
    <row r="18" spans="1:15" ht="12.75" customHeight="1" x14ac:dyDescent="0.4">
      <c r="A18" s="1245">
        <v>1391</v>
      </c>
      <c r="B18" s="1246">
        <v>1391</v>
      </c>
      <c r="C18" s="1246">
        <v>1390</v>
      </c>
      <c r="D18" s="1246">
        <v>1435</v>
      </c>
      <c r="E18" s="1247">
        <v>168</v>
      </c>
      <c r="F18" s="1236" t="s">
        <v>1532</v>
      </c>
      <c r="G18" s="1237">
        <v>67</v>
      </c>
      <c r="H18" s="1236"/>
      <c r="I18" s="1233">
        <v>1373</v>
      </c>
      <c r="J18" s="1234">
        <v>1373</v>
      </c>
      <c r="K18" s="1234">
        <v>1360</v>
      </c>
      <c r="L18" s="1234">
        <v>1435</v>
      </c>
      <c r="M18" s="1235">
        <v>14</v>
      </c>
      <c r="N18" s="1243" t="s">
        <v>1533</v>
      </c>
      <c r="O18" s="1244">
        <v>15</v>
      </c>
    </row>
    <row r="19" spans="1:15" ht="12.75" customHeight="1" x14ac:dyDescent="0.4">
      <c r="A19" s="1245">
        <v>1391</v>
      </c>
      <c r="B19" s="1246">
        <v>1391</v>
      </c>
      <c r="C19" s="1246">
        <v>1389</v>
      </c>
      <c r="D19" s="1246">
        <v>1435</v>
      </c>
      <c r="E19" s="1247">
        <v>30</v>
      </c>
      <c r="F19" s="1236" t="s">
        <v>1534</v>
      </c>
      <c r="G19" s="1237">
        <v>68</v>
      </c>
      <c r="H19" s="1236"/>
      <c r="I19" s="1233">
        <v>1370</v>
      </c>
      <c r="J19" s="1234">
        <v>1370</v>
      </c>
      <c r="K19" s="1234">
        <v>1369</v>
      </c>
      <c r="L19" s="1234">
        <v>1435</v>
      </c>
      <c r="M19" s="1235">
        <v>44</v>
      </c>
      <c r="N19" s="1243" t="s">
        <v>1535</v>
      </c>
      <c r="O19" s="1244">
        <v>16</v>
      </c>
    </row>
    <row r="20" spans="1:15" ht="12.75" customHeight="1" x14ac:dyDescent="0.4">
      <c r="A20" s="1245">
        <v>1391</v>
      </c>
      <c r="B20" s="1246">
        <v>1391</v>
      </c>
      <c r="C20" s="1246">
        <v>1389</v>
      </c>
      <c r="D20" s="1246">
        <v>1435</v>
      </c>
      <c r="E20" s="1247">
        <v>26</v>
      </c>
      <c r="F20" s="1236" t="s">
        <v>1536</v>
      </c>
      <c r="G20" s="1237">
        <v>69</v>
      </c>
      <c r="H20" s="1236"/>
      <c r="I20" s="1233">
        <v>1375</v>
      </c>
      <c r="J20" s="1234">
        <v>1375</v>
      </c>
      <c r="K20" s="1234">
        <v>1365</v>
      </c>
      <c r="L20" s="1234">
        <v>1435</v>
      </c>
      <c r="M20" s="1235">
        <v>114</v>
      </c>
      <c r="N20" s="1243" t="s">
        <v>1537</v>
      </c>
      <c r="O20" s="1244">
        <v>17</v>
      </c>
    </row>
    <row r="21" spans="1:15" ht="12.75" customHeight="1" x14ac:dyDescent="0.4">
      <c r="A21" s="1233">
        <v>1391</v>
      </c>
      <c r="B21" s="1249">
        <v>1391</v>
      </c>
      <c r="C21" s="1234">
        <v>1390</v>
      </c>
      <c r="D21" s="1234">
        <v>1435</v>
      </c>
      <c r="E21" s="1235">
        <v>7</v>
      </c>
      <c r="F21" s="1236" t="s">
        <v>1538</v>
      </c>
      <c r="G21" s="1237">
        <v>70</v>
      </c>
      <c r="H21" s="1236"/>
      <c r="I21" s="1233">
        <v>1375</v>
      </c>
      <c r="J21" s="1234">
        <v>1375</v>
      </c>
      <c r="K21" s="1234">
        <v>1369</v>
      </c>
      <c r="L21" s="1234">
        <v>1435</v>
      </c>
      <c r="M21" s="1235">
        <v>20</v>
      </c>
      <c r="N21" s="1243" t="s">
        <v>1539</v>
      </c>
      <c r="O21" s="1244">
        <v>18</v>
      </c>
    </row>
    <row r="22" spans="1:15" ht="12.75" customHeight="1" x14ac:dyDescent="0.4">
      <c r="A22" s="1250">
        <v>1392</v>
      </c>
      <c r="B22" s="1251">
        <v>1392</v>
      </c>
      <c r="C22" s="1251">
        <v>1390</v>
      </c>
      <c r="D22" s="1251">
        <v>1435</v>
      </c>
      <c r="E22" s="1252">
        <v>53</v>
      </c>
      <c r="F22" s="1236" t="s">
        <v>1540</v>
      </c>
      <c r="G22" s="1237">
        <v>71</v>
      </c>
      <c r="H22" s="1236"/>
      <c r="I22" s="1233">
        <v>1375</v>
      </c>
      <c r="J22" s="1234">
        <v>1375</v>
      </c>
      <c r="K22" s="1234">
        <v>1371</v>
      </c>
      <c r="L22" s="1234">
        <v>1435</v>
      </c>
      <c r="M22" s="1235">
        <v>165</v>
      </c>
      <c r="N22" s="1243" t="s">
        <v>1541</v>
      </c>
      <c r="O22" s="1244">
        <v>19</v>
      </c>
    </row>
    <row r="23" spans="1:15" ht="12.75" customHeight="1" x14ac:dyDescent="0.4">
      <c r="A23" s="1245">
        <v>1392</v>
      </c>
      <c r="B23" s="1246">
        <v>1392</v>
      </c>
      <c r="C23" s="1246">
        <v>1390</v>
      </c>
      <c r="D23" s="1246">
        <v>1435</v>
      </c>
      <c r="E23" s="1247">
        <v>37</v>
      </c>
      <c r="F23" s="1236" t="s">
        <v>1542</v>
      </c>
      <c r="G23" s="1237">
        <v>72</v>
      </c>
      <c r="H23" s="1236"/>
      <c r="I23" s="1233">
        <v>1378</v>
      </c>
      <c r="J23" s="1234">
        <v>1378</v>
      </c>
      <c r="K23" s="1234">
        <v>1376</v>
      </c>
      <c r="L23" s="1234">
        <v>1435</v>
      </c>
      <c r="M23" s="1235">
        <v>38</v>
      </c>
      <c r="N23" s="1243" t="s">
        <v>1543</v>
      </c>
      <c r="O23" s="1244">
        <v>20</v>
      </c>
    </row>
    <row r="24" spans="1:15" ht="12.75" customHeight="1" x14ac:dyDescent="0.4">
      <c r="A24" s="1245">
        <v>1392</v>
      </c>
      <c r="B24" s="1246">
        <v>1392</v>
      </c>
      <c r="C24" s="1246">
        <v>1390</v>
      </c>
      <c r="D24" s="1246">
        <v>1435</v>
      </c>
      <c r="E24" s="1247">
        <v>79</v>
      </c>
      <c r="F24" s="1236" t="s">
        <v>1544</v>
      </c>
      <c r="G24" s="1237">
        <v>73</v>
      </c>
      <c r="H24" s="1236"/>
      <c r="I24" s="1233">
        <v>1375</v>
      </c>
      <c r="J24" s="1234">
        <v>1375</v>
      </c>
      <c r="K24" s="1234">
        <v>1371</v>
      </c>
      <c r="L24" s="1234">
        <v>1435</v>
      </c>
      <c r="M24" s="1235">
        <v>22</v>
      </c>
      <c r="N24" s="1243" t="s">
        <v>1545</v>
      </c>
      <c r="O24" s="1244">
        <v>21</v>
      </c>
    </row>
    <row r="25" spans="1:15" ht="12.75" customHeight="1" x14ac:dyDescent="0.4">
      <c r="A25" s="1245">
        <v>1392</v>
      </c>
      <c r="B25" s="1246">
        <v>1392</v>
      </c>
      <c r="C25" s="1246">
        <v>1391</v>
      </c>
      <c r="D25" s="1246">
        <v>1435</v>
      </c>
      <c r="E25" s="1247">
        <v>15</v>
      </c>
      <c r="F25" s="1236" t="s">
        <v>1546</v>
      </c>
      <c r="G25" s="1237">
        <v>74</v>
      </c>
      <c r="H25" s="1236"/>
      <c r="I25" s="1233">
        <v>1380</v>
      </c>
      <c r="J25" s="1234">
        <v>1380</v>
      </c>
      <c r="K25" s="1234">
        <v>1369</v>
      </c>
      <c r="L25" s="1234">
        <v>1435</v>
      </c>
      <c r="M25" s="1235">
        <v>540</v>
      </c>
      <c r="N25" s="1243" t="s">
        <v>1547</v>
      </c>
      <c r="O25" s="1244">
        <v>22</v>
      </c>
    </row>
    <row r="26" spans="1:15" ht="12.75" customHeight="1" x14ac:dyDescent="0.4">
      <c r="A26" s="1245">
        <v>1393</v>
      </c>
      <c r="B26" s="1246">
        <v>1393</v>
      </c>
      <c r="C26" s="1246">
        <v>1391</v>
      </c>
      <c r="D26" s="1246">
        <v>1435</v>
      </c>
      <c r="E26" s="1253">
        <v>13</v>
      </c>
      <c r="F26" s="1254" t="s">
        <v>1548</v>
      </c>
      <c r="G26" s="1237">
        <v>75</v>
      </c>
      <c r="H26" s="1236"/>
      <c r="I26" s="1233">
        <v>1380</v>
      </c>
      <c r="J26" s="1234">
        <v>1380</v>
      </c>
      <c r="K26" s="1234">
        <v>1377</v>
      </c>
      <c r="L26" s="1234">
        <v>1435</v>
      </c>
      <c r="M26" s="1235">
        <v>233</v>
      </c>
      <c r="N26" s="1243" t="s">
        <v>1549</v>
      </c>
      <c r="O26" s="1244">
        <v>23</v>
      </c>
    </row>
    <row r="27" spans="1:15" ht="12.75" customHeight="1" x14ac:dyDescent="0.4">
      <c r="A27" s="2945" t="s">
        <v>1550</v>
      </c>
      <c r="B27" s="2946"/>
      <c r="C27" s="2946"/>
      <c r="D27" s="2947"/>
      <c r="E27" s="1253">
        <v>-12</v>
      </c>
      <c r="F27" s="1254" t="s">
        <v>1551</v>
      </c>
      <c r="G27" s="1237">
        <v>76</v>
      </c>
      <c r="H27" s="1236"/>
      <c r="I27" s="1233">
        <v>1375</v>
      </c>
      <c r="J27" s="1234">
        <v>1375</v>
      </c>
      <c r="K27" s="1234">
        <v>1371</v>
      </c>
      <c r="L27" s="1234">
        <v>1524</v>
      </c>
      <c r="M27" s="1235">
        <v>4</v>
      </c>
      <c r="N27" s="1243" t="s">
        <v>1552</v>
      </c>
      <c r="O27" s="1244">
        <v>24</v>
      </c>
    </row>
    <row r="28" spans="1:15" ht="12.75" customHeight="1" x14ac:dyDescent="0.4">
      <c r="A28" s="2945" t="s">
        <v>1550</v>
      </c>
      <c r="B28" s="2946"/>
      <c r="C28" s="2946"/>
      <c r="D28" s="2947"/>
      <c r="E28" s="1253">
        <v>-32</v>
      </c>
      <c r="F28" s="1254" t="s">
        <v>1553</v>
      </c>
      <c r="G28" s="1237">
        <v>77</v>
      </c>
      <c r="H28" s="1236"/>
      <c r="I28" s="1233">
        <v>1379</v>
      </c>
      <c r="J28" s="1234">
        <v>1379</v>
      </c>
      <c r="K28" s="1234">
        <v>1378</v>
      </c>
      <c r="L28" s="1234">
        <v>1435</v>
      </c>
      <c r="M28" s="1235">
        <v>16</v>
      </c>
      <c r="N28" s="1243" t="s">
        <v>1554</v>
      </c>
      <c r="O28" s="1244">
        <v>25</v>
      </c>
    </row>
    <row r="29" spans="1:15" ht="12.75" customHeight="1" x14ac:dyDescent="0.4">
      <c r="A29" s="1245">
        <v>1394</v>
      </c>
      <c r="B29" s="1246">
        <v>1394</v>
      </c>
      <c r="C29" s="1246">
        <v>1394</v>
      </c>
      <c r="D29" s="1246">
        <v>1435</v>
      </c>
      <c r="E29" s="1255">
        <v>83</v>
      </c>
      <c r="F29" s="1254" t="s">
        <v>1555</v>
      </c>
      <c r="G29" s="1237">
        <v>78</v>
      </c>
      <c r="H29" s="1236"/>
      <c r="I29" s="1233">
        <v>1376</v>
      </c>
      <c r="J29" s="1234">
        <v>1375</v>
      </c>
      <c r="K29" s="1234">
        <v>1374</v>
      </c>
      <c r="L29" s="1234">
        <v>1435</v>
      </c>
      <c r="M29" s="1235">
        <v>254</v>
      </c>
      <c r="N29" s="1243" t="s">
        <v>1556</v>
      </c>
      <c r="O29" s="1244">
        <v>26</v>
      </c>
    </row>
    <row r="30" spans="1:15" ht="12.75" customHeight="1" x14ac:dyDescent="0.4">
      <c r="A30" s="1245">
        <v>1395</v>
      </c>
      <c r="B30" s="1246">
        <v>1395</v>
      </c>
      <c r="C30" s="1246">
        <v>1390</v>
      </c>
      <c r="D30" s="1246">
        <v>1435</v>
      </c>
      <c r="E30" s="1235">
        <v>16</v>
      </c>
      <c r="F30" s="1254" t="s">
        <v>1557</v>
      </c>
      <c r="G30" s="1237">
        <v>79</v>
      </c>
      <c r="H30" s="1236"/>
      <c r="I30" s="1233">
        <v>1381</v>
      </c>
      <c r="J30" s="1234">
        <v>1381</v>
      </c>
      <c r="K30" s="1234">
        <v>1376</v>
      </c>
      <c r="L30" s="1234">
        <v>1435</v>
      </c>
      <c r="M30" s="1235">
        <v>33</v>
      </c>
      <c r="N30" s="1243" t="s">
        <v>1558</v>
      </c>
      <c r="O30" s="1244">
        <v>27</v>
      </c>
    </row>
    <row r="31" spans="1:15" ht="12.75" customHeight="1" x14ac:dyDescent="0.4">
      <c r="A31" s="1245">
        <v>1396</v>
      </c>
      <c r="B31" s="1246">
        <v>1396</v>
      </c>
      <c r="C31" s="1246">
        <v>1390</v>
      </c>
      <c r="D31" s="1246">
        <v>1435</v>
      </c>
      <c r="E31" s="1235">
        <v>62</v>
      </c>
      <c r="F31" s="1256" t="s">
        <v>1559</v>
      </c>
      <c r="G31" s="1237">
        <v>80</v>
      </c>
      <c r="H31" s="1236"/>
      <c r="I31" s="1233">
        <v>1382</v>
      </c>
      <c r="J31" s="1234">
        <v>1381</v>
      </c>
      <c r="K31" s="1234">
        <v>1377</v>
      </c>
      <c r="L31" s="1234">
        <v>1435</v>
      </c>
      <c r="M31" s="1235">
        <v>24</v>
      </c>
      <c r="N31" s="1243" t="s">
        <v>1560</v>
      </c>
      <c r="O31" s="1244">
        <v>28</v>
      </c>
    </row>
    <row r="32" spans="1:15" ht="12.75" customHeight="1" x14ac:dyDescent="0.4">
      <c r="A32" s="1245">
        <v>1396</v>
      </c>
      <c r="B32" s="1246">
        <v>1396</v>
      </c>
      <c r="C32" s="1246">
        <v>1389</v>
      </c>
      <c r="D32" s="1246">
        <v>1435</v>
      </c>
      <c r="E32" s="1235">
        <v>30</v>
      </c>
      <c r="F32" s="1256" t="s">
        <v>1561</v>
      </c>
      <c r="G32" s="1237">
        <v>81</v>
      </c>
      <c r="H32" s="1236"/>
      <c r="I32" s="1233">
        <v>1377</v>
      </c>
      <c r="J32" s="1234">
        <v>1377</v>
      </c>
      <c r="K32" s="1234">
        <v>1372</v>
      </c>
      <c r="L32" s="1234">
        <v>1435</v>
      </c>
      <c r="M32" s="1235">
        <v>124</v>
      </c>
      <c r="N32" s="1243" t="s">
        <v>1562</v>
      </c>
      <c r="O32" s="1244">
        <v>29</v>
      </c>
    </row>
    <row r="33" spans="1:15" ht="12.75" customHeight="1" x14ac:dyDescent="0.4">
      <c r="A33" s="1245">
        <v>1396</v>
      </c>
      <c r="B33" s="1246">
        <v>1396</v>
      </c>
      <c r="C33" s="1246">
        <v>1391</v>
      </c>
      <c r="D33" s="1246">
        <v>1435</v>
      </c>
      <c r="E33" s="1235">
        <v>176</v>
      </c>
      <c r="F33" s="1256" t="s">
        <v>1563</v>
      </c>
      <c r="G33" s="1237">
        <v>82</v>
      </c>
      <c r="H33" s="1236"/>
      <c r="I33" s="1233">
        <v>1380</v>
      </c>
      <c r="J33" s="1234">
        <v>1379</v>
      </c>
      <c r="K33" s="1234">
        <v>1374</v>
      </c>
      <c r="L33" s="1234">
        <v>1435</v>
      </c>
      <c r="M33" s="1235">
        <v>20</v>
      </c>
      <c r="N33" s="1243" t="s">
        <v>1564</v>
      </c>
      <c r="O33" s="1244">
        <v>30</v>
      </c>
    </row>
    <row r="34" spans="1:15" ht="12.75" customHeight="1" x14ac:dyDescent="0.4">
      <c r="A34" s="1245">
        <v>1396</v>
      </c>
      <c r="B34" s="1246">
        <v>1396</v>
      </c>
      <c r="C34" s="1257" t="s">
        <v>25</v>
      </c>
      <c r="D34" s="1246">
        <v>1435</v>
      </c>
      <c r="E34" s="1235">
        <v>238</v>
      </c>
      <c r="F34" s="1256" t="s">
        <v>1565</v>
      </c>
      <c r="G34" s="1237">
        <v>83</v>
      </c>
      <c r="H34" s="1236"/>
      <c r="I34" s="1233">
        <v>1377</v>
      </c>
      <c r="J34" s="1234">
        <v>1377</v>
      </c>
      <c r="K34" s="1234">
        <v>1369</v>
      </c>
      <c r="L34" s="1234">
        <v>1435</v>
      </c>
      <c r="M34" s="1235">
        <v>201</v>
      </c>
      <c r="N34" s="1243" t="s">
        <v>1566</v>
      </c>
      <c r="O34" s="1244">
        <v>31</v>
      </c>
    </row>
    <row r="35" spans="1:15" ht="12.75" customHeight="1" x14ac:dyDescent="0.4">
      <c r="A35" s="1245">
        <v>1396</v>
      </c>
      <c r="B35" s="1246">
        <v>1396</v>
      </c>
      <c r="C35" s="1257" t="s">
        <v>25</v>
      </c>
      <c r="D35" s="1246">
        <v>1435</v>
      </c>
      <c r="E35" s="1235">
        <v>30</v>
      </c>
      <c r="F35" s="1256" t="s">
        <v>1567</v>
      </c>
      <c r="G35" s="1237">
        <v>84</v>
      </c>
      <c r="H35" s="1236"/>
      <c r="I35" s="1233">
        <v>1379</v>
      </c>
      <c r="J35" s="1234">
        <v>1379</v>
      </c>
      <c r="K35" s="1234">
        <v>1372</v>
      </c>
      <c r="L35" s="1234">
        <v>1435</v>
      </c>
      <c r="M35" s="1235">
        <v>124</v>
      </c>
      <c r="N35" s="1243" t="s">
        <v>1568</v>
      </c>
      <c r="O35" s="1244">
        <v>32</v>
      </c>
    </row>
    <row r="36" spans="1:15" ht="12.75" customHeight="1" x14ac:dyDescent="0.4">
      <c r="A36" s="2945" t="s">
        <v>1569</v>
      </c>
      <c r="B36" s="2946"/>
      <c r="C36" s="2946"/>
      <c r="D36" s="2947"/>
      <c r="E36" s="1253">
        <v>-30</v>
      </c>
      <c r="F36" s="1256" t="s">
        <v>1570</v>
      </c>
      <c r="G36" s="1237">
        <v>85</v>
      </c>
      <c r="H36" s="1236"/>
      <c r="I36" s="1233">
        <v>1380</v>
      </c>
      <c r="J36" s="1234">
        <v>1380</v>
      </c>
      <c r="K36" s="1234">
        <v>1369</v>
      </c>
      <c r="L36" s="1234">
        <v>1435</v>
      </c>
      <c r="M36" s="1235">
        <v>17</v>
      </c>
      <c r="N36" s="1243" t="s">
        <v>1571</v>
      </c>
      <c r="O36" s="1244">
        <v>33</v>
      </c>
    </row>
    <row r="37" spans="1:15" ht="12.75" customHeight="1" x14ac:dyDescent="0.4">
      <c r="A37" s="1245">
        <v>1396</v>
      </c>
      <c r="B37" s="1246">
        <v>1396</v>
      </c>
      <c r="C37" s="1246">
        <v>1395</v>
      </c>
      <c r="D37" s="1246">
        <v>1435</v>
      </c>
      <c r="E37" s="1235">
        <v>38</v>
      </c>
      <c r="F37" s="1256" t="s">
        <v>1572</v>
      </c>
      <c r="G37" s="1237">
        <v>86</v>
      </c>
      <c r="H37" s="1254"/>
      <c r="I37" s="1233">
        <v>1381</v>
      </c>
      <c r="J37" s="1234">
        <v>1381</v>
      </c>
      <c r="K37" s="1234">
        <v>1378</v>
      </c>
      <c r="L37" s="1234">
        <v>1435</v>
      </c>
      <c r="M37" s="1235">
        <v>4</v>
      </c>
      <c r="N37" s="1243" t="s">
        <v>1573</v>
      </c>
      <c r="O37" s="1244">
        <v>34</v>
      </c>
    </row>
    <row r="38" spans="1:15" ht="12.75" customHeight="1" x14ac:dyDescent="0.4">
      <c r="A38" s="1245">
        <v>1396</v>
      </c>
      <c r="B38" s="1246">
        <v>1396</v>
      </c>
      <c r="C38" s="1246">
        <v>1389</v>
      </c>
      <c r="D38" s="1246">
        <v>1435</v>
      </c>
      <c r="E38" s="1247">
        <v>20</v>
      </c>
      <c r="F38" s="1256" t="s">
        <v>1574</v>
      </c>
      <c r="G38" s="1237">
        <v>87</v>
      </c>
      <c r="H38" s="1254"/>
      <c r="I38" s="1233">
        <v>1377</v>
      </c>
      <c r="J38" s="1234">
        <v>1377</v>
      </c>
      <c r="K38" s="1234">
        <v>1369</v>
      </c>
      <c r="L38" s="1234">
        <v>1435</v>
      </c>
      <c r="M38" s="1235">
        <v>19</v>
      </c>
      <c r="N38" s="1243" t="s">
        <v>1575</v>
      </c>
      <c r="O38" s="1244">
        <v>35</v>
      </c>
    </row>
    <row r="39" spans="1:15" ht="12.75" customHeight="1" x14ac:dyDescent="0.4">
      <c r="A39" s="1245">
        <v>1397</v>
      </c>
      <c r="B39" s="1246">
        <v>1397</v>
      </c>
      <c r="C39" s="1246">
        <v>1395</v>
      </c>
      <c r="D39" s="1246">
        <v>1435</v>
      </c>
      <c r="E39" s="1247">
        <v>37</v>
      </c>
      <c r="F39" s="1236" t="s">
        <v>1576</v>
      </c>
      <c r="G39" s="1237">
        <v>88</v>
      </c>
      <c r="H39" s="1254"/>
      <c r="I39" s="1233">
        <v>1377</v>
      </c>
      <c r="J39" s="1234">
        <v>1377</v>
      </c>
      <c r="K39" s="1234">
        <v>1376</v>
      </c>
      <c r="L39" s="1234">
        <v>1435</v>
      </c>
      <c r="M39" s="1235">
        <v>17</v>
      </c>
      <c r="N39" s="1243" t="s">
        <v>1577</v>
      </c>
      <c r="O39" s="1244">
        <v>36</v>
      </c>
    </row>
    <row r="40" spans="1:15" ht="12.75" customHeight="1" x14ac:dyDescent="0.4">
      <c r="A40" s="1245">
        <v>1397</v>
      </c>
      <c r="B40" s="1246">
        <v>1397</v>
      </c>
      <c r="C40" s="1246">
        <v>1390</v>
      </c>
      <c r="D40" s="1246">
        <v>1435</v>
      </c>
      <c r="E40" s="1247">
        <v>97</v>
      </c>
      <c r="F40" s="1258" t="s">
        <v>1578</v>
      </c>
      <c r="G40" s="1237">
        <v>89</v>
      </c>
      <c r="H40" s="1254"/>
      <c r="I40" s="1233">
        <v>1384</v>
      </c>
      <c r="J40" s="1234">
        <v>1384</v>
      </c>
      <c r="K40" s="1234">
        <v>1372</v>
      </c>
      <c r="L40" s="1234">
        <v>1435</v>
      </c>
      <c r="M40" s="1235">
        <v>16</v>
      </c>
      <c r="N40" s="1243" t="s">
        <v>1579</v>
      </c>
      <c r="O40" s="1244">
        <v>37</v>
      </c>
    </row>
    <row r="41" spans="1:15" ht="12.75" customHeight="1" x14ac:dyDescent="0.4">
      <c r="A41" s="1245">
        <v>1397</v>
      </c>
      <c r="B41" s="1246">
        <v>1397</v>
      </c>
      <c r="C41" s="1246">
        <v>1397</v>
      </c>
      <c r="D41" s="1246">
        <v>1435</v>
      </c>
      <c r="E41" s="1247">
        <v>19</v>
      </c>
      <c r="F41" s="1258" t="s">
        <v>1580</v>
      </c>
      <c r="G41" s="1237">
        <v>90</v>
      </c>
      <c r="H41" s="1254"/>
      <c r="I41" s="1233">
        <v>1383</v>
      </c>
      <c r="J41" s="1234">
        <v>1382</v>
      </c>
      <c r="K41" s="1234">
        <v>1379</v>
      </c>
      <c r="L41" s="1234">
        <v>1435</v>
      </c>
      <c r="M41" s="1235">
        <v>100</v>
      </c>
      <c r="N41" s="1243" t="s">
        <v>1581</v>
      </c>
      <c r="O41" s="1244">
        <v>38</v>
      </c>
    </row>
    <row r="42" spans="1:15" ht="15" customHeight="1" x14ac:dyDescent="0.4">
      <c r="A42" s="1245">
        <v>1397</v>
      </c>
      <c r="B42" s="1246">
        <v>1397</v>
      </c>
      <c r="C42" s="1246">
        <v>1395</v>
      </c>
      <c r="D42" s="1246">
        <v>1435</v>
      </c>
      <c r="E42" s="1247">
        <v>56</v>
      </c>
      <c r="F42" s="1258" t="s">
        <v>1582</v>
      </c>
      <c r="G42" s="1237">
        <v>91</v>
      </c>
      <c r="H42" s="1259"/>
      <c r="I42" s="1233">
        <v>1384</v>
      </c>
      <c r="J42" s="1234">
        <v>1383</v>
      </c>
      <c r="K42" s="1234">
        <v>1380</v>
      </c>
      <c r="L42" s="1234">
        <v>1435</v>
      </c>
      <c r="M42" s="1235">
        <v>121</v>
      </c>
      <c r="N42" s="1243" t="s">
        <v>1583</v>
      </c>
      <c r="O42" s="1244">
        <v>39</v>
      </c>
    </row>
    <row r="43" spans="1:15" ht="14.25" customHeight="1" x14ac:dyDescent="0.4">
      <c r="A43" s="1245">
        <v>1392</v>
      </c>
      <c r="B43" s="1246">
        <v>1391</v>
      </c>
      <c r="C43" s="1246">
        <v>1391</v>
      </c>
      <c r="D43" s="1246">
        <v>1435</v>
      </c>
      <c r="E43" s="1247">
        <v>13</v>
      </c>
      <c r="F43" s="1258" t="s">
        <v>1584</v>
      </c>
      <c r="G43" s="1237">
        <v>92</v>
      </c>
      <c r="H43" s="1259"/>
      <c r="I43" s="1233">
        <v>1384</v>
      </c>
      <c r="J43" s="1234">
        <v>1384</v>
      </c>
      <c r="K43" s="1234">
        <v>1380</v>
      </c>
      <c r="L43" s="1234">
        <v>1435</v>
      </c>
      <c r="M43" s="1235">
        <v>19</v>
      </c>
      <c r="N43" s="1243" t="s">
        <v>1585</v>
      </c>
      <c r="O43" s="1244">
        <v>40</v>
      </c>
    </row>
    <row r="44" spans="1:15" ht="14.25" customHeight="1" x14ac:dyDescent="0.4">
      <c r="A44" s="1245">
        <v>1397</v>
      </c>
      <c r="B44" s="1246">
        <v>1397</v>
      </c>
      <c r="C44" s="1246">
        <v>1395</v>
      </c>
      <c r="D44" s="1246">
        <v>1435</v>
      </c>
      <c r="E44" s="1247">
        <v>14</v>
      </c>
      <c r="F44" s="1260" t="s">
        <v>1586</v>
      </c>
      <c r="G44" s="1237">
        <v>93</v>
      </c>
      <c r="I44" s="1233">
        <v>1383</v>
      </c>
      <c r="J44" s="1234">
        <v>1383</v>
      </c>
      <c r="K44" s="1234">
        <v>1379</v>
      </c>
      <c r="L44" s="1234">
        <v>1435</v>
      </c>
      <c r="M44" s="1235">
        <v>151</v>
      </c>
      <c r="N44" s="1243" t="s">
        <v>1587</v>
      </c>
      <c r="O44" s="1244">
        <v>41</v>
      </c>
    </row>
    <row r="45" spans="1:15" ht="14.25" customHeight="1" x14ac:dyDescent="0.4">
      <c r="A45" s="1233">
        <v>1397</v>
      </c>
      <c r="B45" s="1246">
        <v>1397</v>
      </c>
      <c r="C45" s="1246">
        <v>1386</v>
      </c>
      <c r="D45" s="1246">
        <v>1435</v>
      </c>
      <c r="E45" s="1247">
        <v>164</v>
      </c>
      <c r="F45" s="1258" t="s">
        <v>1588</v>
      </c>
      <c r="G45" s="1237">
        <v>94</v>
      </c>
      <c r="I45" s="1233">
        <v>1384</v>
      </c>
      <c r="J45" s="1234">
        <v>1384</v>
      </c>
      <c r="K45" s="1234">
        <v>1379</v>
      </c>
      <c r="L45" s="1234">
        <v>1435</v>
      </c>
      <c r="M45" s="1235">
        <v>646</v>
      </c>
      <c r="N45" s="1243" t="s">
        <v>1589</v>
      </c>
      <c r="O45" s="1244">
        <v>42</v>
      </c>
    </row>
    <row r="46" spans="1:15" ht="14.25" customHeight="1" x14ac:dyDescent="0.4">
      <c r="A46" s="1245">
        <v>1398</v>
      </c>
      <c r="B46" s="1246">
        <v>1398</v>
      </c>
      <c r="C46" s="1246">
        <v>1386</v>
      </c>
      <c r="D46" s="1246">
        <v>1435</v>
      </c>
      <c r="E46" s="1247">
        <v>32</v>
      </c>
      <c r="F46" s="1258" t="s">
        <v>1590</v>
      </c>
      <c r="G46" s="1237">
        <v>95</v>
      </c>
      <c r="I46" s="1233">
        <v>1383</v>
      </c>
      <c r="J46" s="1234">
        <v>1383</v>
      </c>
      <c r="K46" s="1234">
        <v>1383</v>
      </c>
      <c r="L46" s="1234">
        <v>1435</v>
      </c>
      <c r="M46" s="1235">
        <v>53</v>
      </c>
      <c r="N46" s="1243" t="s">
        <v>1591</v>
      </c>
      <c r="O46" s="1244">
        <v>43</v>
      </c>
    </row>
    <row r="47" spans="1:15" ht="14.25" customHeight="1" x14ac:dyDescent="0.4">
      <c r="A47" s="1245">
        <v>1398</v>
      </c>
      <c r="B47" s="1246">
        <v>1398</v>
      </c>
      <c r="C47" s="1246">
        <v>1394</v>
      </c>
      <c r="D47" s="1246">
        <v>1435</v>
      </c>
      <c r="E47" s="1247">
        <v>35</v>
      </c>
      <c r="F47" s="1258" t="s">
        <v>1592</v>
      </c>
      <c r="G47" s="1237">
        <v>96</v>
      </c>
      <c r="I47" s="1233">
        <v>1383</v>
      </c>
      <c r="J47" s="1234">
        <v>1383</v>
      </c>
      <c r="K47" s="1234">
        <v>1383</v>
      </c>
      <c r="L47" s="1234">
        <v>1435</v>
      </c>
      <c r="M47" s="1235">
        <v>12</v>
      </c>
      <c r="N47" s="1243" t="s">
        <v>1593</v>
      </c>
      <c r="O47" s="1244">
        <v>44</v>
      </c>
    </row>
    <row r="48" spans="1:15" ht="14.25" customHeight="1" x14ac:dyDescent="0.4">
      <c r="A48" s="1261">
        <v>1398</v>
      </c>
      <c r="B48" s="1262">
        <v>1398</v>
      </c>
      <c r="C48" s="1262">
        <v>1379</v>
      </c>
      <c r="D48" s="1262">
        <v>1435</v>
      </c>
      <c r="E48" s="1263">
        <v>132</v>
      </c>
      <c r="F48" s="1258" t="s">
        <v>1594</v>
      </c>
      <c r="G48" s="1237">
        <v>97</v>
      </c>
      <c r="I48" s="1233">
        <v>1384</v>
      </c>
      <c r="J48" s="1234">
        <v>1384</v>
      </c>
      <c r="K48" s="1234">
        <v>1383</v>
      </c>
      <c r="L48" s="1234">
        <v>1435</v>
      </c>
      <c r="M48" s="1235">
        <v>38</v>
      </c>
      <c r="N48" s="1243" t="s">
        <v>1595</v>
      </c>
      <c r="O48" s="1244">
        <v>45</v>
      </c>
    </row>
    <row r="49" spans="1:16" ht="14.25" customHeight="1" x14ac:dyDescent="0.4">
      <c r="A49" s="1264">
        <v>1399</v>
      </c>
      <c r="B49" s="1265">
        <v>1399</v>
      </c>
      <c r="C49" s="1265">
        <v>1394</v>
      </c>
      <c r="D49" s="1265">
        <v>1435</v>
      </c>
      <c r="E49" s="1023">
        <v>69</v>
      </c>
      <c r="F49" s="1258" t="s">
        <v>1596</v>
      </c>
      <c r="G49" s="1237">
        <v>98</v>
      </c>
      <c r="I49" s="1245">
        <v>1385</v>
      </c>
      <c r="J49" s="1246">
        <v>1385</v>
      </c>
      <c r="K49" s="1246">
        <v>1384</v>
      </c>
      <c r="L49" s="1246">
        <v>1435</v>
      </c>
      <c r="M49" s="1247">
        <v>83</v>
      </c>
      <c r="N49" s="1243" t="s">
        <v>1597</v>
      </c>
      <c r="O49" s="1244">
        <v>46</v>
      </c>
    </row>
    <row r="50" spans="1:16" ht="14.25" customHeight="1" x14ac:dyDescent="0.4">
      <c r="A50" s="1266">
        <v>1400</v>
      </c>
      <c r="B50" s="1267">
        <v>1400</v>
      </c>
      <c r="C50" s="1268" t="s">
        <v>25</v>
      </c>
      <c r="D50" s="1267">
        <v>1435</v>
      </c>
      <c r="E50" s="1269">
        <v>15</v>
      </c>
      <c r="F50" s="1270" t="s">
        <v>1598</v>
      </c>
      <c r="G50" s="1237">
        <v>99</v>
      </c>
      <c r="I50" s="1271">
        <v>1385</v>
      </c>
      <c r="J50" s="1272">
        <v>1385</v>
      </c>
      <c r="K50" s="1272">
        <v>1379</v>
      </c>
      <c r="L50" s="1272">
        <v>1435</v>
      </c>
      <c r="M50" s="1273">
        <v>121</v>
      </c>
      <c r="N50" s="1243" t="s">
        <v>1599</v>
      </c>
      <c r="O50" s="1244">
        <v>47</v>
      </c>
      <c r="P50" s="1274"/>
    </row>
    <row r="51" spans="1:16" ht="15.75" customHeight="1" x14ac:dyDescent="0.4">
      <c r="A51" s="1266">
        <v>1400</v>
      </c>
      <c r="B51" s="1267">
        <v>1400</v>
      </c>
      <c r="C51" s="1267">
        <v>1395</v>
      </c>
      <c r="D51" s="1267">
        <v>1435</v>
      </c>
      <c r="E51" s="1269">
        <v>18</v>
      </c>
      <c r="F51" s="1270" t="s">
        <v>1600</v>
      </c>
      <c r="G51" s="1237">
        <v>100</v>
      </c>
      <c r="I51" s="1275">
        <v>1386</v>
      </c>
      <c r="J51" s="1276">
        <v>1386</v>
      </c>
      <c r="K51" s="1276">
        <v>1385</v>
      </c>
      <c r="L51" s="1276">
        <v>1435</v>
      </c>
      <c r="M51" s="1277">
        <v>66</v>
      </c>
      <c r="N51" s="1243" t="s">
        <v>1601</v>
      </c>
      <c r="O51" s="1244">
        <v>48</v>
      </c>
    </row>
    <row r="52" spans="1:16" ht="15.75" customHeight="1" x14ac:dyDescent="0.4">
      <c r="A52" s="1264">
        <v>1400</v>
      </c>
      <c r="B52" s="1265">
        <v>1400</v>
      </c>
      <c r="C52" s="1265">
        <v>1394</v>
      </c>
      <c r="D52" s="1265">
        <v>1435</v>
      </c>
      <c r="E52" s="1023">
        <v>13</v>
      </c>
      <c r="F52" s="1270" t="s">
        <v>1602</v>
      </c>
      <c r="G52" s="1237">
        <v>101</v>
      </c>
      <c r="I52" s="1233">
        <v>1386</v>
      </c>
      <c r="J52" s="1234">
        <v>1386</v>
      </c>
      <c r="K52" s="1234">
        <v>1379</v>
      </c>
      <c r="L52" s="1234">
        <v>1435</v>
      </c>
      <c r="M52" s="1235">
        <v>42</v>
      </c>
      <c r="N52" s="1243" t="s">
        <v>1603</v>
      </c>
      <c r="O52" s="1244">
        <v>49</v>
      </c>
    </row>
    <row r="53" spans="1:16" ht="15.75" customHeight="1" x14ac:dyDescent="0.4">
      <c r="A53" s="1266">
        <v>1400</v>
      </c>
      <c r="B53" s="1267">
        <v>1400</v>
      </c>
      <c r="C53" s="1267">
        <v>1394</v>
      </c>
      <c r="D53" s="1267">
        <v>1435</v>
      </c>
      <c r="E53" s="1269">
        <v>19</v>
      </c>
      <c r="F53" s="1270" t="s">
        <v>1604</v>
      </c>
      <c r="G53" s="1237">
        <v>102</v>
      </c>
      <c r="I53" s="1275">
        <v>1386</v>
      </c>
      <c r="J53" s="1276">
        <v>1386</v>
      </c>
      <c r="K53" s="1276">
        <v>1379</v>
      </c>
      <c r="L53" s="1276">
        <v>1435</v>
      </c>
      <c r="M53" s="1277">
        <v>38</v>
      </c>
      <c r="N53" s="1278" t="s">
        <v>1605</v>
      </c>
      <c r="O53" s="1237">
        <v>50</v>
      </c>
    </row>
    <row r="54" spans="1:16" ht="15.75" customHeight="1" thickBot="1" x14ac:dyDescent="0.45">
      <c r="A54" s="1264">
        <v>1400</v>
      </c>
      <c r="B54" s="1265">
        <v>1400</v>
      </c>
      <c r="C54" s="1265">
        <v>1393</v>
      </c>
      <c r="D54" s="1265">
        <v>1435</v>
      </c>
      <c r="E54" s="1023">
        <v>15</v>
      </c>
      <c r="F54" s="1270" t="s">
        <v>1606</v>
      </c>
      <c r="G54" s="1237">
        <v>103</v>
      </c>
      <c r="I54" s="1233">
        <v>1387</v>
      </c>
      <c r="J54" s="1234">
        <v>1387</v>
      </c>
      <c r="K54" s="1234">
        <v>1384</v>
      </c>
      <c r="L54" s="1234">
        <v>1435</v>
      </c>
      <c r="M54" s="1235">
        <v>65</v>
      </c>
      <c r="N54" s="1278" t="s">
        <v>1607</v>
      </c>
      <c r="O54" s="1237">
        <v>51</v>
      </c>
    </row>
    <row r="55" spans="1:16" ht="15.75" customHeight="1" x14ac:dyDescent="0.4">
      <c r="A55" s="1279">
        <v>1401</v>
      </c>
      <c r="B55" s="1280">
        <v>1401</v>
      </c>
      <c r="C55" s="1280">
        <v>1393</v>
      </c>
      <c r="D55" s="1280">
        <v>1435</v>
      </c>
      <c r="E55" s="1281">
        <v>35</v>
      </c>
      <c r="F55" s="1282" t="s">
        <v>1608</v>
      </c>
      <c r="G55" s="1283">
        <v>104</v>
      </c>
      <c r="I55" s="1284"/>
      <c r="J55" s="1285"/>
      <c r="K55" s="1285"/>
      <c r="L55" s="1285"/>
      <c r="M55" s="1286"/>
      <c r="N55" s="1287"/>
      <c r="O55" s="1288"/>
    </row>
    <row r="56" spans="1:16" thickBot="1" x14ac:dyDescent="0.45">
      <c r="A56" s="1233">
        <v>1401</v>
      </c>
      <c r="B56" s="1249">
        <v>1401</v>
      </c>
      <c r="C56" s="1249">
        <v>1393</v>
      </c>
      <c r="D56" s="1249">
        <v>1435</v>
      </c>
      <c r="E56" s="1289">
        <v>31</v>
      </c>
      <c r="F56" s="1290" t="s">
        <v>1609</v>
      </c>
      <c r="G56" s="1237">
        <v>105</v>
      </c>
      <c r="I56" s="1291">
        <v>1387</v>
      </c>
      <c r="J56" s="1292">
        <v>1387</v>
      </c>
      <c r="K56" s="1292">
        <v>1384</v>
      </c>
      <c r="L56" s="1292">
        <v>1435</v>
      </c>
      <c r="M56" s="1293">
        <v>148</v>
      </c>
      <c r="N56" s="1294" t="s">
        <v>1610</v>
      </c>
      <c r="O56" s="1295">
        <v>52</v>
      </c>
    </row>
    <row r="57" spans="1:16" x14ac:dyDescent="0.5">
      <c r="A57" s="1233">
        <v>1401</v>
      </c>
      <c r="B57" s="1249">
        <v>1401</v>
      </c>
      <c r="C57" s="1249">
        <v>1394</v>
      </c>
      <c r="D57" s="1249">
        <v>1435</v>
      </c>
      <c r="E57" s="1289">
        <v>26</v>
      </c>
      <c r="F57" s="1296" t="s">
        <v>1611</v>
      </c>
      <c r="G57" s="1237">
        <v>106</v>
      </c>
      <c r="H57" s="1297"/>
      <c r="I57" s="1297"/>
      <c r="J57" s="1297"/>
      <c r="N57" s="2948" t="s">
        <v>1492</v>
      </c>
      <c r="O57" s="2948"/>
    </row>
    <row r="58" spans="1:16" x14ac:dyDescent="0.5">
      <c r="A58" s="1233">
        <v>1401</v>
      </c>
      <c r="B58" s="1249">
        <v>1401</v>
      </c>
      <c r="C58" s="1249">
        <v>1399</v>
      </c>
      <c r="D58" s="1249">
        <v>1435</v>
      </c>
      <c r="E58" s="1289">
        <v>19</v>
      </c>
      <c r="F58" s="1300" t="s">
        <v>1612</v>
      </c>
      <c r="G58" s="1301">
        <v>107</v>
      </c>
      <c r="H58" s="1297"/>
      <c r="I58" s="1297"/>
      <c r="J58" s="1297"/>
    </row>
    <row r="59" spans="1:16" x14ac:dyDescent="0.5">
      <c r="A59" s="1302">
        <v>1401</v>
      </c>
      <c r="B59" s="1303">
        <v>1401</v>
      </c>
      <c r="C59" s="1303">
        <v>1394</v>
      </c>
      <c r="D59" s="1303">
        <v>1435</v>
      </c>
      <c r="E59" s="1304">
        <v>18</v>
      </c>
      <c r="F59" s="1300" t="s">
        <v>1613</v>
      </c>
      <c r="G59" s="1301">
        <v>108</v>
      </c>
      <c r="H59" s="1297"/>
      <c r="I59" s="1297"/>
      <c r="J59" s="1297"/>
    </row>
    <row r="60" spans="1:16" x14ac:dyDescent="0.5">
      <c r="A60" s="1279">
        <v>1402</v>
      </c>
      <c r="B60" s="1280">
        <v>1402</v>
      </c>
      <c r="C60" s="1280">
        <v>1402</v>
      </c>
      <c r="D60" s="1303">
        <v>1435</v>
      </c>
      <c r="E60" s="1281">
        <v>41</v>
      </c>
      <c r="F60" s="1305" t="s">
        <v>1614</v>
      </c>
      <c r="G60" s="1306">
        <v>109</v>
      </c>
      <c r="H60" s="1297"/>
      <c r="I60" s="1297"/>
      <c r="J60" s="1297"/>
    </row>
    <row r="61" spans="1:16" x14ac:dyDescent="0.5">
      <c r="A61" s="1233">
        <v>1402</v>
      </c>
      <c r="B61" s="1249">
        <v>1402</v>
      </c>
      <c r="C61" s="1249">
        <v>1402</v>
      </c>
      <c r="D61" s="1303">
        <v>1435</v>
      </c>
      <c r="E61" s="1289">
        <v>150</v>
      </c>
      <c r="F61" s="1307" t="s">
        <v>1615</v>
      </c>
      <c r="G61" s="1308">
        <v>110</v>
      </c>
      <c r="H61" s="1297"/>
      <c r="I61" s="1297"/>
      <c r="J61" s="1297"/>
    </row>
    <row r="62" spans="1:16" x14ac:dyDescent="0.5">
      <c r="A62" s="1233">
        <v>1402</v>
      </c>
      <c r="B62" s="1249">
        <v>1402</v>
      </c>
      <c r="C62" s="1249">
        <v>1400</v>
      </c>
      <c r="D62" s="1303">
        <v>1435</v>
      </c>
      <c r="E62" s="1289">
        <v>14</v>
      </c>
      <c r="F62" s="1307" t="s">
        <v>1616</v>
      </c>
      <c r="G62" s="1308">
        <v>111</v>
      </c>
      <c r="H62" s="1297"/>
      <c r="I62" s="1297"/>
      <c r="J62" s="1297"/>
    </row>
    <row r="63" spans="1:16" x14ac:dyDescent="0.5">
      <c r="A63" s="1233">
        <v>1402</v>
      </c>
      <c r="B63" s="1249">
        <v>1402</v>
      </c>
      <c r="C63" s="1249">
        <v>1402</v>
      </c>
      <c r="D63" s="1303">
        <v>1435</v>
      </c>
      <c r="E63" s="1289">
        <v>15</v>
      </c>
      <c r="F63" s="1307" t="s">
        <v>1617</v>
      </c>
      <c r="G63" s="1308">
        <v>112</v>
      </c>
      <c r="H63" s="1297"/>
      <c r="I63" s="1297"/>
      <c r="J63" s="1297"/>
    </row>
    <row r="64" spans="1:16" ht="21" x14ac:dyDescent="0.5">
      <c r="A64" s="1266">
        <v>1402</v>
      </c>
      <c r="B64" s="1267">
        <v>1402</v>
      </c>
      <c r="C64" s="1268">
        <v>1402</v>
      </c>
      <c r="D64" s="1267">
        <v>1435</v>
      </c>
      <c r="E64" s="1269">
        <v>155</v>
      </c>
      <c r="F64" s="1307" t="s">
        <v>1618</v>
      </c>
      <c r="G64" s="1308">
        <v>113</v>
      </c>
      <c r="H64" s="1297"/>
      <c r="I64" s="1297"/>
      <c r="J64" s="1297"/>
    </row>
    <row r="65" spans="1:10" x14ac:dyDescent="0.5">
      <c r="A65" s="1245">
        <v>1403</v>
      </c>
      <c r="B65" s="1246">
        <v>1403</v>
      </c>
      <c r="C65" s="1246">
        <v>1394</v>
      </c>
      <c r="D65" s="1246">
        <v>1435</v>
      </c>
      <c r="E65" s="1247">
        <v>16</v>
      </c>
      <c r="F65" s="1307" t="s">
        <v>1619</v>
      </c>
      <c r="G65" s="1308">
        <v>114</v>
      </c>
      <c r="H65" s="1297"/>
      <c r="I65" s="1297"/>
      <c r="J65" s="1297"/>
    </row>
    <row r="66" spans="1:10" x14ac:dyDescent="0.5">
      <c r="A66" s="1245">
        <v>1403</v>
      </c>
      <c r="B66" s="1246">
        <v>1403</v>
      </c>
      <c r="C66" s="1246">
        <v>1394</v>
      </c>
      <c r="D66" s="1246">
        <v>1435</v>
      </c>
      <c r="E66" s="1247">
        <v>47</v>
      </c>
      <c r="F66" s="1307" t="s">
        <v>1620</v>
      </c>
      <c r="G66" s="1308">
        <v>115</v>
      </c>
      <c r="H66" s="1297"/>
      <c r="I66" s="1297"/>
      <c r="J66" s="1297"/>
    </row>
    <row r="67" spans="1:10" x14ac:dyDescent="0.5">
      <c r="A67" s="1245">
        <v>1403</v>
      </c>
      <c r="B67" s="1246">
        <v>1403</v>
      </c>
      <c r="C67" s="1246">
        <v>1394</v>
      </c>
      <c r="D67" s="1246">
        <v>1435</v>
      </c>
      <c r="E67" s="1247">
        <v>8</v>
      </c>
      <c r="F67" s="1307" t="s">
        <v>1621</v>
      </c>
      <c r="G67" s="1308">
        <v>116</v>
      </c>
      <c r="H67" s="1297"/>
      <c r="I67" s="1297"/>
      <c r="J67" s="1297"/>
    </row>
    <row r="68" spans="1:10" x14ac:dyDescent="0.5">
      <c r="A68" s="1245">
        <v>1403</v>
      </c>
      <c r="B68" s="1246">
        <v>1403</v>
      </c>
      <c r="C68" s="1246">
        <v>1395</v>
      </c>
      <c r="D68" s="1246">
        <v>1435</v>
      </c>
      <c r="E68" s="1247">
        <v>16</v>
      </c>
      <c r="F68" s="1307" t="s">
        <v>1622</v>
      </c>
      <c r="G68" s="1308">
        <v>117</v>
      </c>
      <c r="H68" s="1297"/>
      <c r="I68" s="1297"/>
      <c r="J68" s="1297"/>
    </row>
    <row r="69" spans="1:10" x14ac:dyDescent="0.5">
      <c r="A69" s="1245">
        <v>1403</v>
      </c>
      <c r="B69" s="1246">
        <v>1403</v>
      </c>
      <c r="C69" s="1246">
        <v>1395</v>
      </c>
      <c r="D69" s="1246">
        <v>1435</v>
      </c>
      <c r="E69" s="1247">
        <v>23</v>
      </c>
      <c r="F69" s="1307" t="s">
        <v>1623</v>
      </c>
      <c r="G69" s="1308">
        <v>118</v>
      </c>
      <c r="H69" s="1297"/>
      <c r="I69" s="1297"/>
      <c r="J69" s="1297"/>
    </row>
    <row r="70" spans="1:10" ht="20.25" thickBot="1" x14ac:dyDescent="0.55000000000000004">
      <c r="A70" s="1291">
        <v>1403</v>
      </c>
      <c r="B70" s="1292">
        <v>1403</v>
      </c>
      <c r="C70" s="1292">
        <v>1395</v>
      </c>
      <c r="D70" s="1292">
        <v>1435</v>
      </c>
      <c r="E70" s="1293">
        <v>41</v>
      </c>
      <c r="F70" s="1309" t="s">
        <v>1624</v>
      </c>
      <c r="G70" s="1310">
        <v>119</v>
      </c>
      <c r="H70" s="1297"/>
      <c r="I70" s="1297"/>
      <c r="J70" s="1297"/>
    </row>
    <row r="71" spans="1:10" ht="20.25" thickBot="1" x14ac:dyDescent="0.55000000000000004">
      <c r="E71" s="1311">
        <f>SUM(M4:M56,E4:E70)</f>
        <v>12454</v>
      </c>
      <c r="F71" s="2949" t="s">
        <v>66</v>
      </c>
      <c r="G71" s="2950"/>
    </row>
  </sheetData>
  <mergeCells count="10">
    <mergeCell ref="A28:D28"/>
    <mergeCell ref="A36:D36"/>
    <mergeCell ref="N57:O57"/>
    <mergeCell ref="F71:G71"/>
    <mergeCell ref="A1:N1"/>
    <mergeCell ref="F2:F3"/>
    <mergeCell ref="G2:G3"/>
    <mergeCell ref="N2:N3"/>
    <mergeCell ref="O2:O3"/>
    <mergeCell ref="A27:D27"/>
  </mergeCells>
  <printOptions horizontalCentered="1" verticalCentered="1"/>
  <pageMargins left="0.39370078740157483" right="0.39370078740157483" top="0.39370078740157483" bottom="0.39370078740157483" header="0.39370078740157483" footer="0.51181102362204722"/>
  <pageSetup paperSize="9" scale="7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AK46"/>
  <sheetViews>
    <sheetView rightToLeft="1" topLeftCell="H1" zoomScale="93" zoomScaleNormal="93" zoomScaleSheetLayoutView="130" workbookViewId="0">
      <selection activeCell="P8" sqref="P8:AK9"/>
    </sheetView>
  </sheetViews>
  <sheetFormatPr defaultColWidth="8" defaultRowHeight="15.75" x14ac:dyDescent="0.4"/>
  <cols>
    <col min="1" max="1" width="12.625" style="141" customWidth="1"/>
    <col min="2" max="2" width="10.375" style="141" customWidth="1"/>
    <col min="3" max="3" width="11.625" style="141" customWidth="1"/>
    <col min="4" max="7" width="10.375" style="141" customWidth="1"/>
    <col min="8" max="8" width="13" style="141" customWidth="1"/>
    <col min="9" max="11" width="8" style="141"/>
    <col min="12" max="12" width="8" style="141" customWidth="1"/>
    <col min="13" max="16384" width="8" style="141"/>
  </cols>
  <sheetData>
    <row r="1" spans="1:37" ht="25.5" customHeight="1" x14ac:dyDescent="0.4">
      <c r="A1" s="2764" t="s">
        <v>1906</v>
      </c>
      <c r="B1" s="2764"/>
      <c r="C1" s="2764"/>
      <c r="D1" s="2764"/>
      <c r="E1" s="2764"/>
      <c r="F1" s="2764"/>
      <c r="G1" s="2764"/>
      <c r="H1" s="2764"/>
      <c r="I1" s="1312"/>
      <c r="J1" s="1312"/>
    </row>
    <row r="2" spans="1:37" ht="16.5" customHeight="1" thickBot="1" x14ac:dyDescent="0.45">
      <c r="A2" s="2963" t="s">
        <v>1503</v>
      </c>
      <c r="B2" s="2963"/>
      <c r="C2" s="2963"/>
      <c r="D2" s="2963"/>
      <c r="E2" s="2963"/>
      <c r="F2" s="2963"/>
      <c r="G2" s="2963"/>
      <c r="H2" s="2963"/>
      <c r="I2" s="1312"/>
      <c r="J2" s="1312"/>
    </row>
    <row r="3" spans="1:37" ht="18" customHeight="1" thickBot="1" x14ac:dyDescent="0.45">
      <c r="A3" s="2964" t="s">
        <v>921</v>
      </c>
      <c r="B3" s="2967" t="s">
        <v>1625</v>
      </c>
      <c r="C3" s="2968"/>
      <c r="D3" s="2969"/>
      <c r="E3" s="2970" t="s">
        <v>1626</v>
      </c>
      <c r="F3" s="2968"/>
      <c r="G3" s="2969"/>
      <c r="H3" s="2971" t="s">
        <v>1627</v>
      </c>
    </row>
    <row r="4" spans="1:37" ht="24" customHeight="1" x14ac:dyDescent="0.4">
      <c r="A4" s="2965"/>
      <c r="B4" s="2967" t="s">
        <v>1628</v>
      </c>
      <c r="C4" s="2975" t="s">
        <v>1629</v>
      </c>
      <c r="D4" s="2964" t="s">
        <v>170</v>
      </c>
      <c r="E4" s="2977" t="s">
        <v>1630</v>
      </c>
      <c r="F4" s="2957" t="s">
        <v>1428</v>
      </c>
      <c r="G4" s="2959" t="s">
        <v>529</v>
      </c>
      <c r="H4" s="2972"/>
    </row>
    <row r="5" spans="1:37" ht="31.5" customHeight="1" thickBot="1" x14ac:dyDescent="0.45">
      <c r="A5" s="2966"/>
      <c r="B5" s="2974"/>
      <c r="C5" s="2976"/>
      <c r="D5" s="2966"/>
      <c r="E5" s="2978"/>
      <c r="F5" s="2958"/>
      <c r="G5" s="2960"/>
      <c r="H5" s="2973"/>
    </row>
    <row r="6" spans="1:37" ht="19.5" customHeight="1" x14ac:dyDescent="0.4">
      <c r="A6" s="1869" t="s">
        <v>107</v>
      </c>
      <c r="B6" s="1853">
        <v>363.4</v>
      </c>
      <c r="C6" s="1854">
        <v>209.36500000000001</v>
      </c>
      <c r="D6" s="1855">
        <v>572.76499999999999</v>
      </c>
      <c r="E6" s="1855">
        <v>128.42599999999999</v>
      </c>
      <c r="F6" s="1856">
        <v>125.748</v>
      </c>
      <c r="G6" s="1856">
        <f t="shared" ref="G6:G26" si="0">SUM(E6:F6)</f>
        <v>254.17399999999998</v>
      </c>
      <c r="H6" s="1313">
        <f t="shared" ref="H6:H26" si="1">SUM(G6,D6)</f>
        <v>826.93899999999996</v>
      </c>
      <c r="I6" s="231"/>
    </row>
    <row r="7" spans="1:37" ht="19.5" customHeight="1" thickBot="1" x14ac:dyDescent="0.45">
      <c r="A7" s="1870" t="s">
        <v>112</v>
      </c>
      <c r="B7" s="1857">
        <v>156</v>
      </c>
      <c r="C7" s="1858">
        <v>0</v>
      </c>
      <c r="D7" s="1855">
        <v>156</v>
      </c>
      <c r="E7" s="1855">
        <v>5.89</v>
      </c>
      <c r="F7" s="1856">
        <v>30.02</v>
      </c>
      <c r="G7" s="1856">
        <f t="shared" si="0"/>
        <v>35.909999999999997</v>
      </c>
      <c r="H7" s="1313">
        <f t="shared" si="1"/>
        <v>191.91</v>
      </c>
      <c r="I7" s="231"/>
    </row>
    <row r="8" spans="1:37" ht="19.5" customHeight="1" thickBot="1" x14ac:dyDescent="0.45">
      <c r="A8" s="1870" t="s">
        <v>198</v>
      </c>
      <c r="B8" s="1857">
        <v>443.9</v>
      </c>
      <c r="C8" s="1858">
        <v>0</v>
      </c>
      <c r="D8" s="1855">
        <v>443.9</v>
      </c>
      <c r="E8" s="1855">
        <v>61.8</v>
      </c>
      <c r="F8" s="1856">
        <v>84.492999999999995</v>
      </c>
      <c r="G8" s="1856">
        <f t="shared" si="0"/>
        <v>146.29300000000001</v>
      </c>
      <c r="H8" s="1313">
        <f t="shared" si="1"/>
        <v>590.19299999999998</v>
      </c>
      <c r="I8" s="231"/>
      <c r="P8" s="1869" t="s">
        <v>107</v>
      </c>
      <c r="Q8" s="1870" t="s">
        <v>112</v>
      </c>
      <c r="R8" s="1870" t="s">
        <v>198</v>
      </c>
      <c r="S8" s="1870" t="s">
        <v>102</v>
      </c>
      <c r="T8" s="1870" t="s">
        <v>199</v>
      </c>
      <c r="U8" s="1870" t="s">
        <v>588</v>
      </c>
      <c r="V8" s="1870" t="s">
        <v>109</v>
      </c>
      <c r="W8" s="1870" t="s">
        <v>108</v>
      </c>
      <c r="X8" s="1870" t="s">
        <v>590</v>
      </c>
      <c r="Y8" s="1870" t="s">
        <v>589</v>
      </c>
      <c r="Z8" s="1870" t="s">
        <v>99</v>
      </c>
      <c r="AA8" s="1870" t="s">
        <v>110</v>
      </c>
      <c r="AB8" s="1870" t="s">
        <v>201</v>
      </c>
      <c r="AC8" s="1870" t="s">
        <v>97</v>
      </c>
      <c r="AD8" s="1870" t="s">
        <v>111</v>
      </c>
      <c r="AE8" s="1870" t="s">
        <v>95</v>
      </c>
      <c r="AF8" s="1870" t="s">
        <v>96</v>
      </c>
      <c r="AG8" s="1870" t="s">
        <v>106</v>
      </c>
      <c r="AH8" s="1870" t="s">
        <v>105</v>
      </c>
      <c r="AI8" s="1871" t="s">
        <v>104</v>
      </c>
      <c r="AJ8" s="1871" t="s">
        <v>101</v>
      </c>
      <c r="AK8" s="2284" t="s">
        <v>33</v>
      </c>
    </row>
    <row r="9" spans="1:37" ht="19.5" customHeight="1" thickBot="1" x14ac:dyDescent="0.45">
      <c r="A9" s="1870" t="s">
        <v>102</v>
      </c>
      <c r="B9" s="1857">
        <v>379.33600000000001</v>
      </c>
      <c r="C9" s="1858">
        <v>324.66899999999998</v>
      </c>
      <c r="D9" s="1855">
        <v>704.005</v>
      </c>
      <c r="E9" s="1855">
        <v>85</v>
      </c>
      <c r="F9" s="1856">
        <v>158.30000000000001</v>
      </c>
      <c r="G9" s="1856">
        <f t="shared" si="0"/>
        <v>243.3</v>
      </c>
      <c r="H9" s="1313">
        <f t="shared" si="1"/>
        <v>947.30500000000006</v>
      </c>
      <c r="I9" s="231"/>
      <c r="P9" s="1855">
        <v>572.76499999999999</v>
      </c>
      <c r="Q9" s="1855">
        <v>156</v>
      </c>
      <c r="R9" s="1855">
        <v>443.9</v>
      </c>
      <c r="S9" s="1855">
        <v>704.005</v>
      </c>
      <c r="T9" s="1855">
        <v>330.1</v>
      </c>
      <c r="U9" s="1855">
        <v>335.5</v>
      </c>
      <c r="V9" s="1855">
        <v>400.7</v>
      </c>
      <c r="W9" s="1855">
        <v>536.904</v>
      </c>
      <c r="X9" s="1855">
        <v>164.072</v>
      </c>
      <c r="Y9" s="1855">
        <v>1067.5</v>
      </c>
      <c r="Z9" s="1855">
        <v>734.58600000000001</v>
      </c>
      <c r="AA9" s="1855">
        <v>278.96199999999999</v>
      </c>
      <c r="AB9" s="1855">
        <v>991.89200000000005</v>
      </c>
      <c r="AC9" s="1855">
        <v>797.46699999999987</v>
      </c>
      <c r="AD9" s="1855">
        <v>235.02199999999999</v>
      </c>
      <c r="AE9" s="1855">
        <v>1076.1510000000001</v>
      </c>
      <c r="AF9" s="1855">
        <v>881.04699999999991</v>
      </c>
      <c r="AG9" s="1855">
        <v>483.93100000000004</v>
      </c>
      <c r="AH9" s="1855">
        <v>549.16599999999994</v>
      </c>
      <c r="AI9" s="1855">
        <v>486.87400000000002</v>
      </c>
      <c r="AJ9" s="1855">
        <v>1226.9850000000001</v>
      </c>
      <c r="AK9" s="1864">
        <f>SUM(AK7:AK8)</f>
        <v>0</v>
      </c>
    </row>
    <row r="10" spans="1:37" ht="19.5" customHeight="1" x14ac:dyDescent="0.4">
      <c r="A10" s="1870" t="s">
        <v>199</v>
      </c>
      <c r="B10" s="1857">
        <v>330.1</v>
      </c>
      <c r="C10" s="1858">
        <v>0</v>
      </c>
      <c r="D10" s="1855">
        <v>330.1</v>
      </c>
      <c r="E10" s="1855">
        <v>27.085999999999999</v>
      </c>
      <c r="F10" s="1856">
        <v>33.204999999999998</v>
      </c>
      <c r="G10" s="1856">
        <f t="shared" si="0"/>
        <v>60.290999999999997</v>
      </c>
      <c r="H10" s="1313">
        <f t="shared" si="1"/>
        <v>390.39100000000002</v>
      </c>
      <c r="I10" s="231"/>
    </row>
    <row r="11" spans="1:37" ht="19.5" customHeight="1" x14ac:dyDescent="0.4">
      <c r="A11" s="1870" t="s">
        <v>588</v>
      </c>
      <c r="B11" s="1857">
        <v>250.9</v>
      </c>
      <c r="C11" s="1858">
        <v>84.6</v>
      </c>
      <c r="D11" s="1855">
        <v>335.5</v>
      </c>
      <c r="E11" s="1855">
        <v>29</v>
      </c>
      <c r="F11" s="1856">
        <v>40.4</v>
      </c>
      <c r="G11" s="1856">
        <f t="shared" si="0"/>
        <v>69.400000000000006</v>
      </c>
      <c r="H11" s="1313">
        <f t="shared" si="1"/>
        <v>404.9</v>
      </c>
      <c r="I11" s="231"/>
    </row>
    <row r="12" spans="1:37" ht="19.5" customHeight="1" x14ac:dyDescent="0.4">
      <c r="A12" s="1870" t="s">
        <v>109</v>
      </c>
      <c r="B12" s="1857">
        <v>400.7</v>
      </c>
      <c r="C12" s="1858">
        <v>0</v>
      </c>
      <c r="D12" s="1855">
        <v>400.7</v>
      </c>
      <c r="E12" s="1855">
        <v>0</v>
      </c>
      <c r="F12" s="1856">
        <v>52</v>
      </c>
      <c r="G12" s="1856">
        <f t="shared" si="0"/>
        <v>52</v>
      </c>
      <c r="H12" s="1313">
        <f t="shared" si="1"/>
        <v>452.7</v>
      </c>
      <c r="I12" s="231"/>
    </row>
    <row r="13" spans="1:37" ht="19.5" customHeight="1" x14ac:dyDescent="0.4">
      <c r="A13" s="1870" t="s">
        <v>108</v>
      </c>
      <c r="B13" s="1857">
        <v>419.58299999999997</v>
      </c>
      <c r="C13" s="1858">
        <v>117.321</v>
      </c>
      <c r="D13" s="1855">
        <v>536.904</v>
      </c>
      <c r="E13" s="1859">
        <v>44</v>
      </c>
      <c r="F13" s="1860">
        <v>60</v>
      </c>
      <c r="G13" s="1856">
        <f t="shared" si="0"/>
        <v>104</v>
      </c>
      <c r="H13" s="1313">
        <f t="shared" si="1"/>
        <v>640.904</v>
      </c>
      <c r="I13" s="231"/>
    </row>
    <row r="14" spans="1:37" ht="19.5" customHeight="1" x14ac:dyDescent="0.4">
      <c r="A14" s="1870" t="s">
        <v>590</v>
      </c>
      <c r="B14" s="1857">
        <v>148.4</v>
      </c>
      <c r="C14" s="1858">
        <v>15.672000000000001</v>
      </c>
      <c r="D14" s="1855">
        <v>164.072</v>
      </c>
      <c r="E14" s="1855">
        <v>15.8</v>
      </c>
      <c r="F14" s="1856">
        <v>25</v>
      </c>
      <c r="G14" s="1856">
        <v>40.799999999999997</v>
      </c>
      <c r="H14" s="1313">
        <f t="shared" si="1"/>
        <v>204.87200000000001</v>
      </c>
      <c r="I14" s="231"/>
    </row>
    <row r="15" spans="1:37" ht="19.5" customHeight="1" x14ac:dyDescent="0.4">
      <c r="A15" s="1870" t="s">
        <v>589</v>
      </c>
      <c r="B15" s="1857">
        <v>533.75</v>
      </c>
      <c r="C15" s="1858">
        <v>533.75</v>
      </c>
      <c r="D15" s="1855">
        <v>1067.5</v>
      </c>
      <c r="E15" s="1855">
        <v>75.948999999999998</v>
      </c>
      <c r="F15" s="1856">
        <v>67</v>
      </c>
      <c r="G15" s="1856">
        <f t="shared" si="0"/>
        <v>142.94900000000001</v>
      </c>
      <c r="H15" s="1313">
        <f t="shared" si="1"/>
        <v>1210.4490000000001</v>
      </c>
      <c r="I15" s="231"/>
    </row>
    <row r="16" spans="1:37" ht="19.5" customHeight="1" x14ac:dyDescent="0.4">
      <c r="A16" s="1870" t="s">
        <v>99</v>
      </c>
      <c r="B16" s="1857">
        <v>456.27300000000002</v>
      </c>
      <c r="C16" s="1858">
        <v>278.31299999999999</v>
      </c>
      <c r="D16" s="1855">
        <v>734.58600000000001</v>
      </c>
      <c r="E16" s="1855">
        <v>116.012</v>
      </c>
      <c r="F16" s="1856">
        <v>241.6</v>
      </c>
      <c r="G16" s="1856">
        <f t="shared" si="0"/>
        <v>357.61199999999997</v>
      </c>
      <c r="H16" s="1313">
        <f t="shared" si="1"/>
        <v>1092.1979999999999</v>
      </c>
      <c r="I16" s="231"/>
    </row>
    <row r="17" spans="1:16" ht="19.5" customHeight="1" x14ac:dyDescent="0.4">
      <c r="A17" s="1870" t="s">
        <v>110</v>
      </c>
      <c r="B17" s="1857">
        <v>278.96199999999999</v>
      </c>
      <c r="C17" s="1858">
        <v>0</v>
      </c>
      <c r="D17" s="1855">
        <v>278.96199999999999</v>
      </c>
      <c r="E17" s="1855">
        <v>32.093000000000004</v>
      </c>
      <c r="F17" s="1856">
        <v>65.906999999999996</v>
      </c>
      <c r="G17" s="1856">
        <v>98</v>
      </c>
      <c r="H17" s="1313">
        <f t="shared" si="1"/>
        <v>376.96199999999999</v>
      </c>
      <c r="I17" s="231"/>
    </row>
    <row r="18" spans="1:16" ht="19.5" customHeight="1" x14ac:dyDescent="0.4">
      <c r="A18" s="1870" t="s">
        <v>201</v>
      </c>
      <c r="B18" s="1857">
        <v>991.89200000000005</v>
      </c>
      <c r="C18" s="1858">
        <v>0</v>
      </c>
      <c r="D18" s="1855">
        <v>991.89200000000005</v>
      </c>
      <c r="E18" s="1855">
        <v>87</v>
      </c>
      <c r="F18" s="1856">
        <v>158</v>
      </c>
      <c r="G18" s="1856">
        <f t="shared" si="0"/>
        <v>245</v>
      </c>
      <c r="H18" s="1313">
        <f t="shared" si="1"/>
        <v>1236.8920000000001</v>
      </c>
      <c r="I18" s="231"/>
    </row>
    <row r="19" spans="1:16" ht="19.5" customHeight="1" x14ac:dyDescent="0.4">
      <c r="A19" s="1870" t="s">
        <v>97</v>
      </c>
      <c r="B19" s="1857">
        <v>594.3649999999999</v>
      </c>
      <c r="C19" s="1858">
        <v>203.102</v>
      </c>
      <c r="D19" s="1855">
        <v>797.46699999999987</v>
      </c>
      <c r="E19" s="1855">
        <v>98.85</v>
      </c>
      <c r="F19" s="1856">
        <v>267.07799999999997</v>
      </c>
      <c r="G19" s="1856">
        <f t="shared" si="0"/>
        <v>365.928</v>
      </c>
      <c r="H19" s="1313">
        <f t="shared" si="1"/>
        <v>1163.395</v>
      </c>
      <c r="I19" s="231"/>
    </row>
    <row r="20" spans="1:16" ht="19.5" customHeight="1" x14ac:dyDescent="0.4">
      <c r="A20" s="1870" t="s">
        <v>111</v>
      </c>
      <c r="B20" s="1857">
        <v>189.14</v>
      </c>
      <c r="C20" s="1858">
        <v>45.881999999999998</v>
      </c>
      <c r="D20" s="1855">
        <v>235.02199999999999</v>
      </c>
      <c r="E20" s="1855">
        <v>14.956</v>
      </c>
      <c r="F20" s="1856">
        <v>47.222999999999999</v>
      </c>
      <c r="G20" s="1856">
        <f t="shared" si="0"/>
        <v>62.179000000000002</v>
      </c>
      <c r="H20" s="1313">
        <f t="shared" si="1"/>
        <v>297.20100000000002</v>
      </c>
      <c r="I20" s="231"/>
    </row>
    <row r="21" spans="1:16" ht="19.5" customHeight="1" x14ac:dyDescent="0.4">
      <c r="A21" s="1870" t="s">
        <v>95</v>
      </c>
      <c r="B21" s="1857">
        <v>875.75800000000004</v>
      </c>
      <c r="C21" s="1858">
        <v>200.393</v>
      </c>
      <c r="D21" s="1855">
        <v>1076.1510000000001</v>
      </c>
      <c r="E21" s="1855">
        <v>74.5</v>
      </c>
      <c r="F21" s="1856">
        <v>163.4</v>
      </c>
      <c r="G21" s="1856">
        <f t="shared" si="0"/>
        <v>237.9</v>
      </c>
      <c r="H21" s="1313">
        <f t="shared" si="1"/>
        <v>1314.0510000000002</v>
      </c>
      <c r="I21" s="231"/>
    </row>
    <row r="22" spans="1:16" ht="19.5" customHeight="1" x14ac:dyDescent="0.4">
      <c r="A22" s="1870" t="s">
        <v>96</v>
      </c>
      <c r="B22" s="1857">
        <v>881.04699999999991</v>
      </c>
      <c r="C22" s="1858">
        <v>0</v>
      </c>
      <c r="D22" s="1855">
        <v>881.04699999999991</v>
      </c>
      <c r="E22" s="1855">
        <v>62.100999999999999</v>
      </c>
      <c r="F22" s="1856">
        <v>133.363</v>
      </c>
      <c r="G22" s="1856">
        <f t="shared" si="0"/>
        <v>195.464</v>
      </c>
      <c r="H22" s="1313">
        <f t="shared" si="1"/>
        <v>1076.511</v>
      </c>
      <c r="I22" s="231"/>
    </row>
    <row r="23" spans="1:16" ht="19.5" customHeight="1" x14ac:dyDescent="0.4">
      <c r="A23" s="1870" t="s">
        <v>106</v>
      </c>
      <c r="B23" s="1857">
        <v>483.93100000000004</v>
      </c>
      <c r="C23" s="1858">
        <v>0</v>
      </c>
      <c r="D23" s="1855">
        <v>483.93100000000004</v>
      </c>
      <c r="E23" s="1855">
        <v>4.5</v>
      </c>
      <c r="F23" s="1856">
        <v>71.599999999999994</v>
      </c>
      <c r="G23" s="1856">
        <f t="shared" si="0"/>
        <v>76.099999999999994</v>
      </c>
      <c r="H23" s="1313">
        <f t="shared" si="1"/>
        <v>560.03100000000006</v>
      </c>
      <c r="I23" s="231"/>
      <c r="K23" s="231"/>
      <c r="L23" s="231"/>
      <c r="M23" s="231"/>
      <c r="P23" s="231"/>
    </row>
    <row r="24" spans="1:16" ht="19.5" customHeight="1" x14ac:dyDescent="0.4">
      <c r="A24" s="1870" t="s">
        <v>105</v>
      </c>
      <c r="B24" s="1857">
        <v>549.16599999999994</v>
      </c>
      <c r="C24" s="1858">
        <v>0</v>
      </c>
      <c r="D24" s="1855">
        <v>549.16599999999994</v>
      </c>
      <c r="E24" s="1855">
        <v>93.1</v>
      </c>
      <c r="F24" s="1856">
        <v>87.9</v>
      </c>
      <c r="G24" s="1856">
        <f t="shared" si="0"/>
        <v>181</v>
      </c>
      <c r="H24" s="1313">
        <f t="shared" si="1"/>
        <v>730.16599999999994</v>
      </c>
      <c r="I24" s="231"/>
    </row>
    <row r="25" spans="1:16" ht="19.5" customHeight="1" x14ac:dyDescent="0.4">
      <c r="A25" s="1871" t="s">
        <v>104</v>
      </c>
      <c r="B25" s="1857">
        <v>486.87400000000002</v>
      </c>
      <c r="C25" s="1858">
        <v>0</v>
      </c>
      <c r="D25" s="1855">
        <v>486.87400000000002</v>
      </c>
      <c r="E25" s="1855">
        <v>4.6760000000000002</v>
      </c>
      <c r="F25" s="1856">
        <v>89.141999999999996</v>
      </c>
      <c r="G25" s="1856">
        <f t="shared" si="0"/>
        <v>93.817999999999998</v>
      </c>
      <c r="H25" s="1313">
        <f t="shared" si="1"/>
        <v>580.69200000000001</v>
      </c>
      <c r="I25" s="231"/>
    </row>
    <row r="26" spans="1:16" ht="19.5" customHeight="1" thickBot="1" x14ac:dyDescent="0.45">
      <c r="A26" s="1871" t="s">
        <v>101</v>
      </c>
      <c r="B26" s="1861">
        <v>620.27700000000004</v>
      </c>
      <c r="C26" s="1862">
        <v>606.70799999999997</v>
      </c>
      <c r="D26" s="1855">
        <v>1226.9850000000001</v>
      </c>
      <c r="E26" s="1855">
        <v>250.983</v>
      </c>
      <c r="F26" s="1856">
        <v>184.25</v>
      </c>
      <c r="G26" s="1856">
        <f t="shared" si="0"/>
        <v>435.233</v>
      </c>
      <c r="H26" s="1314">
        <f t="shared" si="1"/>
        <v>1662.2180000000001</v>
      </c>
      <c r="I26" s="231"/>
    </row>
    <row r="27" spans="1:16" ht="19.5" customHeight="1" thickBot="1" x14ac:dyDescent="0.45">
      <c r="A27" s="1863" t="s">
        <v>33</v>
      </c>
      <c r="B27" s="1864">
        <f>SUM(B6:B26)</f>
        <v>9833.753999999999</v>
      </c>
      <c r="C27" s="1865">
        <f>SUM(C6:C26)</f>
        <v>2619.7750000000001</v>
      </c>
      <c r="D27" s="1864">
        <f t="shared" ref="D27" si="2">SUM(B27:C27)</f>
        <v>12453.528999999999</v>
      </c>
      <c r="E27" s="1866">
        <f>SUM(E6:E26)</f>
        <v>1311.7219999999998</v>
      </c>
      <c r="F27" s="1867">
        <f>SUM(F6:F26)</f>
        <v>2185.6289999999999</v>
      </c>
      <c r="G27" s="1864">
        <f>SUM(G6:G26)</f>
        <v>3497.3510000000001</v>
      </c>
      <c r="H27" s="1868">
        <f>SUM(H6:H26)</f>
        <v>15950.880000000001</v>
      </c>
      <c r="I27" s="231"/>
      <c r="K27" s="231"/>
    </row>
    <row r="28" spans="1:16" ht="13.5" customHeight="1" x14ac:dyDescent="0.55000000000000004">
      <c r="A28" s="2961" t="s">
        <v>1631</v>
      </c>
      <c r="B28" s="2962"/>
      <c r="C28" s="2962"/>
      <c r="D28" s="2962"/>
      <c r="E28" s="2962"/>
      <c r="F28" s="2962"/>
      <c r="G28" s="2962"/>
      <c r="H28" s="2962"/>
      <c r="I28" s="1315"/>
      <c r="J28" s="1315"/>
      <c r="K28" s="231"/>
    </row>
    <row r="29" spans="1:16" ht="22.5" customHeight="1" x14ac:dyDescent="0.55000000000000004">
      <c r="A29" s="1315"/>
      <c r="B29" s="1315"/>
    </row>
    <row r="30" spans="1:16" ht="21.75" customHeight="1" x14ac:dyDescent="0.55000000000000004">
      <c r="A30" s="1315"/>
      <c r="B30" s="1315"/>
    </row>
    <row r="31" spans="1:16" ht="31.5" customHeight="1" x14ac:dyDescent="0.4">
      <c r="A31" s="1316"/>
      <c r="B31" s="1316"/>
      <c r="C31" s="39"/>
      <c r="D31" s="39"/>
    </row>
    <row r="32" spans="1:16" ht="16.5" customHeight="1" x14ac:dyDescent="0.55000000000000004">
      <c r="A32" s="1315"/>
      <c r="B32" s="1315"/>
    </row>
    <row r="33" spans="1:2" ht="16.5" customHeight="1" x14ac:dyDescent="0.55000000000000004">
      <c r="A33" s="1315"/>
      <c r="B33" s="1315"/>
    </row>
    <row r="34" spans="1:2" ht="16.5" customHeight="1" x14ac:dyDescent="0.55000000000000004">
      <c r="A34" s="1315"/>
      <c r="B34" s="1315"/>
    </row>
    <row r="35" spans="1:2" ht="16.5" customHeight="1" x14ac:dyDescent="0.4"/>
    <row r="36" spans="1:2" ht="16.5" customHeight="1" x14ac:dyDescent="0.4"/>
    <row r="37" spans="1:2" ht="16.5" customHeight="1" x14ac:dyDescent="0.4"/>
    <row r="38" spans="1:2" ht="16.5" customHeight="1" x14ac:dyDescent="0.4"/>
    <row r="41" spans="1:2" ht="13.5" customHeight="1" x14ac:dyDescent="0.4"/>
    <row r="46" spans="1:2" ht="63.75" customHeight="1" x14ac:dyDescent="0.4"/>
  </sheetData>
  <mergeCells count="13">
    <mergeCell ref="F4:F5"/>
    <mergeCell ref="G4:G5"/>
    <mergeCell ref="A28:H28"/>
    <mergeCell ref="A1:H1"/>
    <mergeCell ref="A2:H2"/>
    <mergeCell ref="A3:A5"/>
    <mergeCell ref="B3:D3"/>
    <mergeCell ref="E3:G3"/>
    <mergeCell ref="H3:H5"/>
    <mergeCell ref="B4:B5"/>
    <mergeCell ref="C4:C5"/>
    <mergeCell ref="D4:D5"/>
    <mergeCell ref="E4:E5"/>
  </mergeCells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80" firstPageNumber="7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B050"/>
  </sheetPr>
  <dimension ref="A1:J13"/>
  <sheetViews>
    <sheetView rightToLeft="1" zoomScale="110" zoomScaleNormal="110" zoomScaleSheetLayoutView="130" workbookViewId="0">
      <selection activeCell="B15" sqref="B15"/>
    </sheetView>
  </sheetViews>
  <sheetFormatPr defaultColWidth="8" defaultRowHeight="15.75" x14ac:dyDescent="0.4"/>
  <cols>
    <col min="1" max="1" width="12.625" style="90" customWidth="1"/>
    <col min="2" max="2" width="10.375" style="90" customWidth="1"/>
    <col min="3" max="3" width="11.625" style="90" customWidth="1"/>
    <col min="4" max="6" width="10.375" style="90" customWidth="1"/>
    <col min="7" max="7" width="22" style="90" customWidth="1"/>
    <col min="8" max="8" width="13" style="90" customWidth="1"/>
    <col min="9" max="11" width="8" style="90"/>
    <col min="12" max="12" width="8" style="90" customWidth="1"/>
    <col min="13" max="16384" width="8" style="90"/>
  </cols>
  <sheetData>
    <row r="1" spans="1:10" ht="22.5" customHeight="1" thickBot="1" x14ac:dyDescent="0.6">
      <c r="A1" s="2999" t="s">
        <v>1907</v>
      </c>
      <c r="B1" s="3000"/>
      <c r="C1" s="3000"/>
      <c r="D1" s="3000"/>
      <c r="E1" s="3000"/>
      <c r="F1" s="3000"/>
      <c r="G1" s="3000"/>
      <c r="H1" s="3000"/>
      <c r="I1" s="1003"/>
      <c r="J1" s="1003"/>
    </row>
    <row r="2" spans="1:10" ht="24" customHeight="1" thickBot="1" x14ac:dyDescent="0.6">
      <c r="A2" s="3001" t="s">
        <v>921</v>
      </c>
      <c r="B2" s="3002"/>
      <c r="C2" s="3003" t="s">
        <v>1100</v>
      </c>
      <c r="D2" s="3004"/>
      <c r="E2" s="3004"/>
      <c r="F2" s="3004"/>
      <c r="G2" s="3005"/>
      <c r="H2" s="1004" t="s">
        <v>1170</v>
      </c>
      <c r="I2" s="1003"/>
      <c r="J2" s="1003"/>
    </row>
    <row r="3" spans="1:10" ht="39.75" customHeight="1" thickBot="1" x14ac:dyDescent="0.6">
      <c r="A3" s="3006" t="s">
        <v>1171</v>
      </c>
      <c r="B3" s="3007"/>
      <c r="C3" s="3008" t="s">
        <v>1172</v>
      </c>
      <c r="D3" s="3009"/>
      <c r="E3" s="3009"/>
      <c r="F3" s="3009"/>
      <c r="G3" s="3010"/>
      <c r="H3" s="1005">
        <v>508</v>
      </c>
      <c r="I3" s="1003"/>
      <c r="J3" s="1003"/>
    </row>
    <row r="4" spans="1:10" ht="24" customHeight="1" thickBot="1" x14ac:dyDescent="0.6">
      <c r="A4" s="2986" t="s">
        <v>925</v>
      </c>
      <c r="B4" s="2987"/>
      <c r="C4" s="2988" t="s">
        <v>1173</v>
      </c>
      <c r="D4" s="2989"/>
      <c r="E4" s="2989"/>
      <c r="F4" s="2989"/>
      <c r="G4" s="2990"/>
      <c r="H4" s="1006">
        <v>89</v>
      </c>
      <c r="I4" s="1003"/>
      <c r="J4" s="1003"/>
    </row>
    <row r="5" spans="1:10" ht="24" customHeight="1" thickBot="1" x14ac:dyDescent="0.6">
      <c r="A5" s="2986" t="s">
        <v>99</v>
      </c>
      <c r="B5" s="2987"/>
      <c r="C5" s="2988" t="s">
        <v>1174</v>
      </c>
      <c r="D5" s="2989"/>
      <c r="E5" s="2989"/>
      <c r="F5" s="2989"/>
      <c r="G5" s="2990"/>
      <c r="H5" s="1006">
        <v>183</v>
      </c>
      <c r="I5" s="1003"/>
      <c r="J5" s="1003"/>
    </row>
    <row r="6" spans="1:10" ht="24" customHeight="1" thickBot="1" x14ac:dyDescent="0.6">
      <c r="A6" s="2986" t="s">
        <v>94</v>
      </c>
      <c r="B6" s="2987"/>
      <c r="C6" s="2988" t="s">
        <v>1175</v>
      </c>
      <c r="D6" s="2989"/>
      <c r="E6" s="2989"/>
      <c r="F6" s="2989"/>
      <c r="G6" s="2990"/>
      <c r="H6" s="1006">
        <v>192</v>
      </c>
      <c r="I6" s="1003"/>
      <c r="J6" s="1003"/>
    </row>
    <row r="7" spans="1:10" ht="24" customHeight="1" thickBot="1" x14ac:dyDescent="0.45">
      <c r="A7" s="2986" t="s">
        <v>1176</v>
      </c>
      <c r="B7" s="2987"/>
      <c r="C7" s="2988" t="s">
        <v>1177</v>
      </c>
      <c r="D7" s="2989"/>
      <c r="E7" s="2989"/>
      <c r="F7" s="2989"/>
      <c r="G7" s="2990"/>
      <c r="H7" s="1006">
        <v>140</v>
      </c>
    </row>
    <row r="8" spans="1:10" ht="24" customHeight="1" thickBot="1" x14ac:dyDescent="0.45">
      <c r="A8" s="2986" t="s">
        <v>1178</v>
      </c>
      <c r="B8" s="2987"/>
      <c r="C8" s="2988" t="s">
        <v>1179</v>
      </c>
      <c r="D8" s="2989"/>
      <c r="E8" s="2989"/>
      <c r="F8" s="2989"/>
      <c r="G8" s="2990"/>
      <c r="H8" s="1007">
        <v>208</v>
      </c>
    </row>
    <row r="9" spans="1:10" ht="24" customHeight="1" thickBot="1" x14ac:dyDescent="0.45">
      <c r="A9" s="2986" t="s">
        <v>107</v>
      </c>
      <c r="B9" s="2987"/>
      <c r="C9" s="2991" t="s">
        <v>1180</v>
      </c>
      <c r="D9" s="2992"/>
      <c r="E9" s="2992"/>
      <c r="F9" s="2992"/>
      <c r="G9" s="2993"/>
      <c r="H9" s="1006">
        <v>226</v>
      </c>
    </row>
    <row r="10" spans="1:10" ht="24" customHeight="1" thickBot="1" x14ac:dyDescent="0.45">
      <c r="A10" s="2994" t="s">
        <v>1181</v>
      </c>
      <c r="B10" s="2995"/>
      <c r="C10" s="2996" t="s">
        <v>1182</v>
      </c>
      <c r="D10" s="2997"/>
      <c r="E10" s="2997"/>
      <c r="F10" s="2997"/>
      <c r="G10" s="2998"/>
      <c r="H10" s="1008">
        <v>290</v>
      </c>
    </row>
    <row r="11" spans="1:10" ht="24" customHeight="1" thickBot="1" x14ac:dyDescent="0.45">
      <c r="A11" s="2979" t="s">
        <v>927</v>
      </c>
      <c r="B11" s="2979"/>
      <c r="C11" s="1009" t="s">
        <v>1183</v>
      </c>
      <c r="D11" s="1009"/>
      <c r="E11" s="1009"/>
      <c r="F11" s="1009"/>
      <c r="G11" s="1010"/>
      <c r="H11" s="1005">
        <v>177</v>
      </c>
    </row>
    <row r="12" spans="1:10" ht="24" customHeight="1" thickBot="1" x14ac:dyDescent="0.45">
      <c r="A12" s="2980" t="s">
        <v>170</v>
      </c>
      <c r="B12" s="2981"/>
      <c r="C12" s="2982"/>
      <c r="D12" s="2983"/>
      <c r="E12" s="2983"/>
      <c r="F12" s="2983"/>
      <c r="G12" s="2984"/>
      <c r="H12" s="1011">
        <f>SUM(H3:H11)</f>
        <v>2013</v>
      </c>
    </row>
    <row r="13" spans="1:10" x14ac:dyDescent="0.4">
      <c r="A13" s="2985" t="s">
        <v>1184</v>
      </c>
      <c r="B13" s="2985"/>
      <c r="C13" s="2985"/>
      <c r="D13" s="1012"/>
      <c r="E13" s="1013"/>
      <c r="F13" s="1012"/>
      <c r="G13" s="1013"/>
      <c r="H13" s="1013"/>
    </row>
  </sheetData>
  <mergeCells count="23">
    <mergeCell ref="A4:B4"/>
    <mergeCell ref="C4:G4"/>
    <mergeCell ref="A1:H1"/>
    <mergeCell ref="A2:B2"/>
    <mergeCell ref="C2:G2"/>
    <mergeCell ref="A3:B3"/>
    <mergeCell ref="C3:G3"/>
    <mergeCell ref="A5:B5"/>
    <mergeCell ref="C5:G5"/>
    <mergeCell ref="A6:B6"/>
    <mergeCell ref="C6:G6"/>
    <mergeCell ref="A7:B7"/>
    <mergeCell ref="C7:G7"/>
    <mergeCell ref="A11:B11"/>
    <mergeCell ref="A12:B12"/>
    <mergeCell ref="C12:G12"/>
    <mergeCell ref="A13:C13"/>
    <mergeCell ref="A8:B8"/>
    <mergeCell ref="C8:G8"/>
    <mergeCell ref="A9:B9"/>
    <mergeCell ref="C9:G9"/>
    <mergeCell ref="A10:B10"/>
    <mergeCell ref="C10:G10"/>
  </mergeCells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80" firstPageNumber="73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B050"/>
  </sheetPr>
  <dimension ref="A1:N51"/>
  <sheetViews>
    <sheetView rightToLeft="1" zoomScale="82" zoomScaleNormal="82" zoomScaleSheetLayoutView="130" workbookViewId="0">
      <selection activeCell="A2" sqref="A2"/>
    </sheetView>
  </sheetViews>
  <sheetFormatPr defaultColWidth="9" defaultRowHeight="15.75" x14ac:dyDescent="0.2"/>
  <cols>
    <col min="1" max="1" width="17.625" style="39" customWidth="1"/>
    <col min="2" max="7" width="11.625" style="39" customWidth="1"/>
    <col min="8" max="8" width="9.75" style="39" customWidth="1"/>
    <col min="9" max="9" width="6" style="39" bestFit="1" customWidth="1"/>
    <col min="10" max="10" width="7.25" style="39" bestFit="1" customWidth="1"/>
    <col min="11" max="16384" width="9" style="39"/>
  </cols>
  <sheetData>
    <row r="1" spans="1:14" ht="26.25" customHeight="1" thickBot="1" x14ac:dyDescent="0.25">
      <c r="A1" s="2847" t="s">
        <v>1908</v>
      </c>
      <c r="B1" s="2847"/>
      <c r="C1" s="2847"/>
      <c r="D1" s="2847"/>
      <c r="E1" s="2847"/>
      <c r="F1" s="2847"/>
      <c r="G1" s="2847"/>
      <c r="H1" s="2847"/>
    </row>
    <row r="2" spans="1:14" ht="30" customHeight="1" thickBot="1" x14ac:dyDescent="0.25">
      <c r="A2" s="1873" t="s">
        <v>87</v>
      </c>
      <c r="B2" s="1873" t="s">
        <v>88</v>
      </c>
      <c r="C2" s="1873" t="s">
        <v>89</v>
      </c>
      <c r="D2" s="1873" t="s">
        <v>90</v>
      </c>
      <c r="E2" s="1873" t="s">
        <v>91</v>
      </c>
      <c r="F2" s="1873" t="s">
        <v>92</v>
      </c>
      <c r="G2" s="1874" t="s">
        <v>93</v>
      </c>
      <c r="H2" s="1874" t="s">
        <v>33</v>
      </c>
    </row>
    <row r="3" spans="1:14" ht="16.5" customHeight="1" thickBot="1" x14ac:dyDescent="0.25">
      <c r="A3" s="1876" t="s">
        <v>94</v>
      </c>
      <c r="B3" s="1872">
        <v>1</v>
      </c>
      <c r="C3" s="1872">
        <v>6</v>
      </c>
      <c r="D3" s="1872">
        <v>1</v>
      </c>
      <c r="E3" s="1872">
        <v>34</v>
      </c>
      <c r="F3" s="1872">
        <v>10</v>
      </c>
      <c r="G3" s="1872">
        <v>42</v>
      </c>
      <c r="H3" s="1872">
        <v>52</v>
      </c>
      <c r="J3" s="40">
        <f t="shared" ref="J3:J23" si="0">SUM(B3:E3)</f>
        <v>42</v>
      </c>
      <c r="K3" s="40">
        <f t="shared" ref="K3:K23" si="1">+J3-G3</f>
        <v>0</v>
      </c>
      <c r="L3" s="40"/>
      <c r="M3" s="40"/>
      <c r="N3" s="40"/>
    </row>
    <row r="4" spans="1:14" ht="16.5" customHeight="1" thickBot="1" x14ac:dyDescent="0.25">
      <c r="A4" s="1877" t="s">
        <v>95</v>
      </c>
      <c r="B4" s="1872">
        <v>1</v>
      </c>
      <c r="C4" s="1872">
        <v>4</v>
      </c>
      <c r="D4" s="1872">
        <v>6</v>
      </c>
      <c r="E4" s="1872">
        <v>33</v>
      </c>
      <c r="F4" s="1872">
        <v>3</v>
      </c>
      <c r="G4" s="1872">
        <v>44</v>
      </c>
      <c r="H4" s="1872">
        <v>47</v>
      </c>
      <c r="J4" s="40">
        <f t="shared" si="0"/>
        <v>44</v>
      </c>
      <c r="K4" s="40">
        <f t="shared" si="1"/>
        <v>0</v>
      </c>
      <c r="L4" s="40"/>
      <c r="M4" s="40"/>
      <c r="N4" s="40"/>
    </row>
    <row r="5" spans="1:14" ht="16.5" customHeight="1" thickBot="1" x14ac:dyDescent="0.25">
      <c r="A5" s="1876" t="s">
        <v>96</v>
      </c>
      <c r="B5" s="1872">
        <v>1</v>
      </c>
      <c r="C5" s="1872">
        <v>4</v>
      </c>
      <c r="D5" s="1872">
        <v>0</v>
      </c>
      <c r="E5" s="1872">
        <v>34</v>
      </c>
      <c r="F5" s="1872">
        <v>0</v>
      </c>
      <c r="G5" s="1872">
        <v>39</v>
      </c>
      <c r="H5" s="1872">
        <v>39</v>
      </c>
      <c r="J5" s="40">
        <f t="shared" si="0"/>
        <v>39</v>
      </c>
      <c r="K5" s="40">
        <f t="shared" si="1"/>
        <v>0</v>
      </c>
      <c r="L5" s="40"/>
      <c r="M5" s="40"/>
      <c r="N5" s="40"/>
    </row>
    <row r="6" spans="1:14" ht="16.5" customHeight="1" thickBot="1" x14ac:dyDescent="0.25">
      <c r="A6" s="1876" t="s">
        <v>97</v>
      </c>
      <c r="B6" s="1872">
        <v>1</v>
      </c>
      <c r="C6" s="1872">
        <v>4</v>
      </c>
      <c r="D6" s="1872">
        <v>4</v>
      </c>
      <c r="E6" s="1872">
        <v>24</v>
      </c>
      <c r="F6" s="1872">
        <v>0</v>
      </c>
      <c r="G6" s="1872">
        <v>33</v>
      </c>
      <c r="H6" s="1872">
        <v>33</v>
      </c>
      <c r="J6" s="40">
        <f t="shared" si="0"/>
        <v>33</v>
      </c>
      <c r="K6" s="40">
        <f t="shared" si="1"/>
        <v>0</v>
      </c>
      <c r="L6" s="40"/>
      <c r="M6" s="40"/>
      <c r="N6" s="40"/>
    </row>
    <row r="7" spans="1:14" ht="16.5" customHeight="1" thickBot="1" x14ac:dyDescent="0.25">
      <c r="A7" s="1876" t="s">
        <v>98</v>
      </c>
      <c r="B7" s="1872">
        <v>0</v>
      </c>
      <c r="C7" s="1872">
        <v>2</v>
      </c>
      <c r="D7" s="1872">
        <v>2</v>
      </c>
      <c r="E7" s="1872">
        <v>23</v>
      </c>
      <c r="F7" s="1872">
        <v>0</v>
      </c>
      <c r="G7" s="1872">
        <v>27</v>
      </c>
      <c r="H7" s="1872">
        <v>27</v>
      </c>
      <c r="J7" s="40">
        <f t="shared" si="0"/>
        <v>27</v>
      </c>
      <c r="K7" s="40">
        <f t="shared" si="1"/>
        <v>0</v>
      </c>
      <c r="L7" s="40"/>
      <c r="M7" s="40"/>
      <c r="N7" s="40"/>
    </row>
    <row r="8" spans="1:14" ht="16.5" customHeight="1" thickBot="1" x14ac:dyDescent="0.25">
      <c r="A8" s="1876" t="s">
        <v>99</v>
      </c>
      <c r="B8" s="1872">
        <v>2</v>
      </c>
      <c r="C8" s="1872">
        <v>2</v>
      </c>
      <c r="D8" s="1872">
        <v>6</v>
      </c>
      <c r="E8" s="1872">
        <v>14</v>
      </c>
      <c r="F8" s="1872">
        <v>0</v>
      </c>
      <c r="G8" s="1872">
        <v>24</v>
      </c>
      <c r="H8" s="1872">
        <v>24</v>
      </c>
      <c r="J8" s="40">
        <f t="shared" si="0"/>
        <v>24</v>
      </c>
      <c r="K8" s="40">
        <f t="shared" si="1"/>
        <v>0</v>
      </c>
      <c r="L8" s="40"/>
      <c r="M8" s="40"/>
      <c r="N8" s="40"/>
    </row>
    <row r="9" spans="1:14" ht="16.5" customHeight="1" thickBot="1" x14ac:dyDescent="0.25">
      <c r="A9" s="1876" t="s">
        <v>100</v>
      </c>
      <c r="B9" s="1872">
        <v>0</v>
      </c>
      <c r="C9" s="1872">
        <v>3</v>
      </c>
      <c r="D9" s="1872">
        <v>3</v>
      </c>
      <c r="E9" s="1872">
        <v>15</v>
      </c>
      <c r="F9" s="1872">
        <v>2</v>
      </c>
      <c r="G9" s="1872">
        <v>21</v>
      </c>
      <c r="H9" s="1872">
        <v>23</v>
      </c>
      <c r="J9" s="40">
        <f t="shared" si="0"/>
        <v>21</v>
      </c>
      <c r="K9" s="40">
        <f t="shared" si="1"/>
        <v>0</v>
      </c>
      <c r="L9" s="40"/>
      <c r="M9" s="40"/>
      <c r="N9" s="40"/>
    </row>
    <row r="10" spans="1:14" ht="16.5" customHeight="1" thickBot="1" x14ac:dyDescent="0.25">
      <c r="A10" s="1876" t="s">
        <v>101</v>
      </c>
      <c r="B10" s="1872">
        <v>3</v>
      </c>
      <c r="C10" s="1872">
        <v>3</v>
      </c>
      <c r="D10" s="1872">
        <v>3</v>
      </c>
      <c r="E10" s="1872">
        <v>14</v>
      </c>
      <c r="F10" s="1872">
        <v>0</v>
      </c>
      <c r="G10" s="1872">
        <v>23</v>
      </c>
      <c r="H10" s="1872">
        <v>23</v>
      </c>
      <c r="J10" s="40">
        <f t="shared" si="0"/>
        <v>23</v>
      </c>
      <c r="K10" s="40">
        <f t="shared" si="1"/>
        <v>0</v>
      </c>
      <c r="L10" s="40"/>
      <c r="M10" s="40"/>
      <c r="N10" s="40"/>
    </row>
    <row r="11" spans="1:14" ht="16.5" customHeight="1" thickBot="1" x14ac:dyDescent="0.25">
      <c r="A11" s="1876" t="s">
        <v>102</v>
      </c>
      <c r="B11" s="1872">
        <v>2</v>
      </c>
      <c r="C11" s="1872">
        <v>5</v>
      </c>
      <c r="D11" s="1872">
        <v>6</v>
      </c>
      <c r="E11" s="1872">
        <v>8</v>
      </c>
      <c r="F11" s="1872">
        <v>1</v>
      </c>
      <c r="G11" s="1872">
        <v>21</v>
      </c>
      <c r="H11" s="1872">
        <v>22</v>
      </c>
      <c r="J11" s="40">
        <f t="shared" si="0"/>
        <v>21</v>
      </c>
      <c r="K11" s="40">
        <f t="shared" si="1"/>
        <v>0</v>
      </c>
      <c r="L11" s="40"/>
      <c r="M11" s="40"/>
      <c r="N11" s="40"/>
    </row>
    <row r="12" spans="1:14" ht="16.5" customHeight="1" thickBot="1" x14ac:dyDescent="0.25">
      <c r="A12" s="1876" t="s">
        <v>103</v>
      </c>
      <c r="B12" s="1872">
        <v>1</v>
      </c>
      <c r="C12" s="1872">
        <v>1</v>
      </c>
      <c r="D12" s="1872">
        <v>2</v>
      </c>
      <c r="E12" s="1872">
        <v>12</v>
      </c>
      <c r="F12" s="1872">
        <v>5</v>
      </c>
      <c r="G12" s="1872">
        <v>16</v>
      </c>
      <c r="H12" s="1872">
        <v>21</v>
      </c>
      <c r="J12" s="40">
        <f t="shared" si="0"/>
        <v>16</v>
      </c>
      <c r="K12" s="40">
        <f t="shared" si="1"/>
        <v>0</v>
      </c>
      <c r="L12" s="40"/>
      <c r="M12" s="40"/>
      <c r="N12" s="40"/>
    </row>
    <row r="13" spans="1:14" ht="16.5" customHeight="1" thickBot="1" x14ac:dyDescent="0.25">
      <c r="A13" s="1876" t="s">
        <v>104</v>
      </c>
      <c r="B13" s="1872">
        <v>0</v>
      </c>
      <c r="C13" s="1872">
        <v>1</v>
      </c>
      <c r="D13" s="1872">
        <v>1</v>
      </c>
      <c r="E13" s="1872">
        <v>12</v>
      </c>
      <c r="F13" s="1872">
        <v>6</v>
      </c>
      <c r="G13" s="1872">
        <v>14</v>
      </c>
      <c r="H13" s="1872">
        <v>20</v>
      </c>
      <c r="J13" s="40">
        <f t="shared" si="0"/>
        <v>14</v>
      </c>
      <c r="K13" s="40">
        <f t="shared" si="1"/>
        <v>0</v>
      </c>
      <c r="L13" s="40"/>
      <c r="M13" s="40"/>
      <c r="N13" s="40"/>
    </row>
    <row r="14" spans="1:14" ht="16.5" customHeight="1" thickBot="1" x14ac:dyDescent="0.25">
      <c r="A14" s="1876" t="s">
        <v>105</v>
      </c>
      <c r="B14" s="1872">
        <v>0</v>
      </c>
      <c r="C14" s="1872">
        <v>2</v>
      </c>
      <c r="D14" s="1872">
        <v>3</v>
      </c>
      <c r="E14" s="1872">
        <v>10</v>
      </c>
      <c r="F14" s="1872">
        <v>4</v>
      </c>
      <c r="G14" s="1872">
        <v>15</v>
      </c>
      <c r="H14" s="1872">
        <v>19</v>
      </c>
      <c r="J14" s="40">
        <f t="shared" si="0"/>
        <v>15</v>
      </c>
      <c r="K14" s="40">
        <f t="shared" si="1"/>
        <v>0</v>
      </c>
      <c r="L14" s="40"/>
      <c r="M14" s="40"/>
      <c r="N14" s="40"/>
    </row>
    <row r="15" spans="1:14" ht="16.5" customHeight="1" thickBot="1" x14ac:dyDescent="0.25">
      <c r="A15" s="1878" t="s">
        <v>106</v>
      </c>
      <c r="B15" s="1872">
        <v>0</v>
      </c>
      <c r="C15" s="1872">
        <v>2</v>
      </c>
      <c r="D15" s="1872">
        <v>2</v>
      </c>
      <c r="E15" s="1872">
        <v>6</v>
      </c>
      <c r="F15" s="1872">
        <v>9</v>
      </c>
      <c r="G15" s="1872">
        <v>10</v>
      </c>
      <c r="H15" s="1872">
        <v>19</v>
      </c>
      <c r="J15" s="40">
        <f t="shared" si="0"/>
        <v>10</v>
      </c>
      <c r="K15" s="40">
        <f t="shared" si="1"/>
        <v>0</v>
      </c>
      <c r="L15" s="40"/>
      <c r="M15" s="40"/>
      <c r="N15" s="40"/>
    </row>
    <row r="16" spans="1:14" ht="16.5" customHeight="1" thickBot="1" x14ac:dyDescent="0.25">
      <c r="A16" s="1876" t="s">
        <v>107</v>
      </c>
      <c r="B16" s="1872">
        <v>3</v>
      </c>
      <c r="C16" s="1872">
        <v>1</v>
      </c>
      <c r="D16" s="1872">
        <v>5</v>
      </c>
      <c r="E16" s="1872">
        <v>8</v>
      </c>
      <c r="F16" s="1872">
        <v>0</v>
      </c>
      <c r="G16" s="1872">
        <v>17</v>
      </c>
      <c r="H16" s="1872">
        <v>17</v>
      </c>
      <c r="J16" s="40">
        <f t="shared" si="0"/>
        <v>17</v>
      </c>
      <c r="K16" s="40">
        <f t="shared" si="1"/>
        <v>0</v>
      </c>
      <c r="L16" s="40"/>
      <c r="M16" s="40"/>
      <c r="N16" s="40"/>
    </row>
    <row r="17" spans="1:14" ht="16.5" customHeight="1" thickBot="1" x14ac:dyDescent="0.25">
      <c r="A17" s="1876" t="s">
        <v>108</v>
      </c>
      <c r="B17" s="1872">
        <v>1</v>
      </c>
      <c r="C17" s="1872">
        <v>1</v>
      </c>
      <c r="D17" s="1872">
        <v>2</v>
      </c>
      <c r="E17" s="1872">
        <v>13</v>
      </c>
      <c r="F17" s="1872">
        <v>0</v>
      </c>
      <c r="G17" s="1872">
        <v>17</v>
      </c>
      <c r="H17" s="1872">
        <v>17</v>
      </c>
      <c r="J17" s="40">
        <f t="shared" si="0"/>
        <v>17</v>
      </c>
      <c r="K17" s="40">
        <f t="shared" si="1"/>
        <v>0</v>
      </c>
      <c r="L17" s="40"/>
      <c r="M17" s="40"/>
      <c r="N17" s="40"/>
    </row>
    <row r="18" spans="1:14" ht="16.5" customHeight="1" thickBot="1" x14ac:dyDescent="0.25">
      <c r="A18" s="1876" t="s">
        <v>109</v>
      </c>
      <c r="B18" s="1872">
        <v>0</v>
      </c>
      <c r="C18" s="1872">
        <v>2</v>
      </c>
      <c r="D18" s="1872">
        <v>0</v>
      </c>
      <c r="E18" s="1872">
        <v>6</v>
      </c>
      <c r="F18" s="1872">
        <v>9</v>
      </c>
      <c r="G18" s="1872">
        <v>8</v>
      </c>
      <c r="H18" s="1872">
        <v>17</v>
      </c>
      <c r="J18" s="40">
        <f t="shared" si="0"/>
        <v>8</v>
      </c>
      <c r="K18" s="40">
        <f t="shared" si="1"/>
        <v>0</v>
      </c>
      <c r="L18" s="40"/>
      <c r="M18" s="40"/>
      <c r="N18" s="40"/>
    </row>
    <row r="19" spans="1:14" ht="16.5" customHeight="1" thickBot="1" x14ac:dyDescent="0.25">
      <c r="A19" s="1876" t="s">
        <v>110</v>
      </c>
      <c r="B19" s="1872">
        <v>1</v>
      </c>
      <c r="C19" s="1872">
        <v>1</v>
      </c>
      <c r="D19" s="1872">
        <v>3</v>
      </c>
      <c r="E19" s="1872">
        <v>11</v>
      </c>
      <c r="F19" s="1872">
        <v>0</v>
      </c>
      <c r="G19" s="1872">
        <v>16</v>
      </c>
      <c r="H19" s="1872">
        <v>16</v>
      </c>
      <c r="J19" s="40">
        <f t="shared" si="0"/>
        <v>16</v>
      </c>
      <c r="K19" s="40">
        <f t="shared" si="1"/>
        <v>0</v>
      </c>
      <c r="L19" s="40"/>
      <c r="M19" s="40"/>
      <c r="N19" s="40"/>
    </row>
    <row r="20" spans="1:14" ht="16.5" customHeight="1" thickBot="1" x14ac:dyDescent="0.25">
      <c r="A20" s="1876" t="s">
        <v>111</v>
      </c>
      <c r="B20" s="1872">
        <v>1</v>
      </c>
      <c r="C20" s="1872">
        <v>0</v>
      </c>
      <c r="D20" s="1872">
        <v>0</v>
      </c>
      <c r="E20" s="1872">
        <v>11</v>
      </c>
      <c r="F20" s="1872">
        <v>0</v>
      </c>
      <c r="G20" s="1872">
        <v>12</v>
      </c>
      <c r="H20" s="1872">
        <v>12</v>
      </c>
      <c r="J20" s="40">
        <f t="shared" si="0"/>
        <v>12</v>
      </c>
      <c r="K20" s="40">
        <f t="shared" si="1"/>
        <v>0</v>
      </c>
      <c r="L20" s="40"/>
      <c r="M20" s="40"/>
      <c r="N20" s="40"/>
    </row>
    <row r="21" spans="1:14" ht="16.5" customHeight="1" thickBot="1" x14ac:dyDescent="0.25">
      <c r="A21" s="1876" t="s">
        <v>112</v>
      </c>
      <c r="B21" s="1872">
        <v>1</v>
      </c>
      <c r="C21" s="1872">
        <v>0</v>
      </c>
      <c r="D21" s="1872">
        <v>2</v>
      </c>
      <c r="E21" s="1872">
        <v>8</v>
      </c>
      <c r="F21" s="1872">
        <v>0</v>
      </c>
      <c r="G21" s="1872">
        <v>11</v>
      </c>
      <c r="H21" s="1872">
        <v>11</v>
      </c>
      <c r="J21" s="40">
        <f t="shared" si="0"/>
        <v>11</v>
      </c>
      <c r="K21" s="40">
        <f t="shared" si="1"/>
        <v>0</v>
      </c>
      <c r="L21" s="40"/>
      <c r="M21" s="40"/>
      <c r="N21" s="40"/>
    </row>
    <row r="22" spans="1:14" ht="16.5" customHeight="1" thickBot="1" x14ac:dyDescent="0.25">
      <c r="A22" s="1876" t="s">
        <v>113</v>
      </c>
      <c r="B22" s="1872">
        <v>0</v>
      </c>
      <c r="C22" s="1872">
        <v>2</v>
      </c>
      <c r="D22" s="1872">
        <v>2</v>
      </c>
      <c r="E22" s="1872">
        <v>6</v>
      </c>
      <c r="F22" s="1872">
        <v>0</v>
      </c>
      <c r="G22" s="1872">
        <v>10</v>
      </c>
      <c r="H22" s="1872">
        <v>10</v>
      </c>
      <c r="J22" s="40">
        <f t="shared" si="0"/>
        <v>10</v>
      </c>
      <c r="K22" s="40">
        <f t="shared" si="1"/>
        <v>0</v>
      </c>
      <c r="L22" s="40"/>
      <c r="M22" s="40"/>
      <c r="N22" s="40"/>
    </row>
    <row r="23" spans="1:14" ht="16.5" customHeight="1" thickBot="1" x14ac:dyDescent="0.25">
      <c r="A23" s="1876" t="s">
        <v>114</v>
      </c>
      <c r="B23" s="1872">
        <v>0</v>
      </c>
      <c r="C23" s="1872">
        <v>2</v>
      </c>
      <c r="D23" s="1872">
        <v>1</v>
      </c>
      <c r="E23" s="1872">
        <v>5</v>
      </c>
      <c r="F23" s="1872">
        <v>0</v>
      </c>
      <c r="G23" s="1872">
        <v>8</v>
      </c>
      <c r="H23" s="1872">
        <v>8</v>
      </c>
      <c r="J23" s="40">
        <f t="shared" si="0"/>
        <v>8</v>
      </c>
      <c r="K23" s="40">
        <f t="shared" si="1"/>
        <v>0</v>
      </c>
      <c r="L23" s="40"/>
      <c r="M23" s="40"/>
      <c r="N23" s="40"/>
    </row>
    <row r="24" spans="1:14" ht="26.25" customHeight="1" thickBot="1" x14ac:dyDescent="0.25">
      <c r="A24" s="1874" t="s">
        <v>33</v>
      </c>
      <c r="B24" s="1875">
        <v>19</v>
      </c>
      <c r="C24" s="1875">
        <v>48</v>
      </c>
      <c r="D24" s="1875">
        <v>54</v>
      </c>
      <c r="E24" s="1875">
        <v>307</v>
      </c>
      <c r="F24" s="1875">
        <v>49</v>
      </c>
      <c r="G24" s="1875">
        <v>428</v>
      </c>
      <c r="H24" s="1875">
        <v>477</v>
      </c>
      <c r="J24" s="40"/>
      <c r="K24" s="40"/>
      <c r="L24" s="40"/>
      <c r="M24" s="40"/>
      <c r="N24" s="40"/>
    </row>
    <row r="25" spans="1:14" ht="15.75" customHeight="1" x14ac:dyDescent="0.2">
      <c r="A25" s="2851" t="s">
        <v>115</v>
      </c>
      <c r="B25" s="2846"/>
      <c r="J25" s="40"/>
      <c r="K25" s="40"/>
      <c r="L25" s="40"/>
      <c r="M25" s="40"/>
      <c r="N25" s="40"/>
    </row>
    <row r="26" spans="1:14" ht="15.75" customHeight="1" x14ac:dyDescent="0.2">
      <c r="A26" s="2881" t="s">
        <v>116</v>
      </c>
      <c r="B26" s="3011"/>
      <c r="C26" s="3011"/>
      <c r="D26" s="3011"/>
      <c r="E26" s="3011"/>
      <c r="F26" s="3011"/>
      <c r="G26" s="3011"/>
      <c r="H26" s="3011"/>
      <c r="N26" s="40"/>
    </row>
    <row r="27" spans="1:14" ht="5.25" customHeight="1" x14ac:dyDescent="0.2">
      <c r="A27" s="42"/>
      <c r="B27" s="43"/>
      <c r="C27" s="43"/>
      <c r="D27" s="43"/>
      <c r="E27" s="43"/>
      <c r="F27" s="43"/>
      <c r="G27" s="43"/>
      <c r="H27" s="43"/>
      <c r="N27" s="40"/>
    </row>
    <row r="28" spans="1:14" ht="22.5" customHeight="1" x14ac:dyDescent="0.2">
      <c r="C28" s="40"/>
      <c r="H28" s="39">
        <f>SUM(B24:F24)</f>
        <v>477</v>
      </c>
    </row>
    <row r="29" spans="1:14" ht="27.75" customHeight="1" x14ac:dyDescent="0.2">
      <c r="J29" s="39">
        <v>534</v>
      </c>
    </row>
    <row r="30" spans="1:14" ht="16.5" customHeight="1" x14ac:dyDescent="0.2"/>
    <row r="31" spans="1:14" ht="16.5" customHeight="1" x14ac:dyDescent="0.2"/>
    <row r="32" spans="1:14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  <row r="49" ht="16.5" customHeight="1" x14ac:dyDescent="0.2"/>
    <row r="50" ht="16.5" customHeight="1" x14ac:dyDescent="0.2"/>
    <row r="51" ht="24.75" customHeight="1" x14ac:dyDescent="0.2"/>
  </sheetData>
  <mergeCells count="3">
    <mergeCell ref="A1:H1"/>
    <mergeCell ref="A25:B25"/>
    <mergeCell ref="A26:H26"/>
  </mergeCells>
  <printOptions horizontalCentered="1" verticalCentered="1"/>
  <pageMargins left="0" right="0" top="0.98425196850393704" bottom="4.7244094488188981" header="0.51181102362204722" footer="0.51181102362204722"/>
  <pageSetup paperSize="9" scale="80" firstPageNumber="74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</sheetPr>
  <dimension ref="A2:P31"/>
  <sheetViews>
    <sheetView rightToLeft="1" topLeftCell="A4" zoomScaleNormal="100" workbookViewId="0">
      <selection activeCell="A5" sqref="A5:A6"/>
    </sheetView>
  </sheetViews>
  <sheetFormatPr defaultColWidth="8" defaultRowHeight="12.75" x14ac:dyDescent="0.2"/>
  <cols>
    <col min="1" max="1" width="9.25" style="1317" customWidth="1"/>
    <col min="2" max="2" width="7" style="1317" bestFit="1" customWidth="1"/>
    <col min="3" max="3" width="5.625" style="1317" bestFit="1" customWidth="1"/>
    <col min="4" max="4" width="8.625" style="1317" customWidth="1"/>
    <col min="5" max="11" width="8.125" style="1317" customWidth="1"/>
    <col min="12" max="12" width="8.125" style="1318" customWidth="1"/>
    <col min="13" max="13" width="8.125" style="1317" customWidth="1"/>
    <col min="14" max="14" width="11.25" style="1317" customWidth="1"/>
    <col min="15" max="16384" width="8" style="1317"/>
  </cols>
  <sheetData>
    <row r="2" spans="1:16" hidden="1" x14ac:dyDescent="0.2"/>
    <row r="3" spans="1:16" ht="30" hidden="1" customHeight="1" thickBot="1" x14ac:dyDescent="0.7">
      <c r="D3" s="3012"/>
      <c r="E3" s="3012"/>
      <c r="F3" s="3012"/>
      <c r="G3" s="3012"/>
      <c r="H3" s="3012"/>
      <c r="I3" s="3012"/>
      <c r="J3" s="3012"/>
      <c r="K3" s="3012"/>
      <c r="L3" s="3012"/>
      <c r="M3" s="3012"/>
      <c r="N3" s="3012"/>
      <c r="P3" s="1317" t="s">
        <v>1632</v>
      </c>
    </row>
    <row r="4" spans="1:16" ht="32.25" customHeight="1" thickBot="1" x14ac:dyDescent="0.25">
      <c r="A4" s="3013" t="s">
        <v>1909</v>
      </c>
      <c r="B4" s="3013"/>
      <c r="C4" s="3013"/>
      <c r="D4" s="3013"/>
      <c r="E4" s="3013"/>
      <c r="F4" s="3013"/>
      <c r="G4" s="3013"/>
      <c r="H4" s="3013"/>
      <c r="I4" s="3013"/>
      <c r="J4" s="3013"/>
      <c r="K4" s="3013"/>
      <c r="L4" s="1319"/>
      <c r="M4" s="1319"/>
      <c r="N4" s="1319"/>
    </row>
    <row r="5" spans="1:16" s="686" customFormat="1" ht="20.25" thickBot="1" x14ac:dyDescent="0.25">
      <c r="A5" s="3014" t="s">
        <v>1633</v>
      </c>
      <c r="B5" s="3016" t="s">
        <v>1634</v>
      </c>
      <c r="C5" s="3017"/>
      <c r="D5" s="3017"/>
      <c r="E5" s="3017"/>
      <c r="F5" s="3017"/>
      <c r="G5" s="3017"/>
      <c r="H5" s="3017"/>
      <c r="I5" s="3017"/>
      <c r="J5" s="3018"/>
      <c r="K5" s="3019" t="s">
        <v>33</v>
      </c>
      <c r="L5" s="685"/>
    </row>
    <row r="6" spans="1:16" s="686" customFormat="1" ht="20.25" thickBot="1" x14ac:dyDescent="0.25">
      <c r="A6" s="3015"/>
      <c r="B6" s="1901" t="s">
        <v>1635</v>
      </c>
      <c r="C6" s="1901" t="s">
        <v>1636</v>
      </c>
      <c r="D6" s="1901" t="s">
        <v>1637</v>
      </c>
      <c r="E6" s="1901" t="s">
        <v>1638</v>
      </c>
      <c r="F6" s="1901" t="s">
        <v>1639</v>
      </c>
      <c r="G6" s="1901" t="s">
        <v>1640</v>
      </c>
      <c r="H6" s="1902" t="s">
        <v>1641</v>
      </c>
      <c r="I6" s="1901" t="s">
        <v>1642</v>
      </c>
      <c r="J6" s="1902" t="s">
        <v>1643</v>
      </c>
      <c r="K6" s="3020"/>
      <c r="L6" s="685"/>
    </row>
    <row r="7" spans="1:16" s="686" customFormat="1" ht="21.75" x14ac:dyDescent="0.2">
      <c r="A7" s="1908" t="s">
        <v>107</v>
      </c>
      <c r="B7" s="1879">
        <v>140</v>
      </c>
      <c r="C7" s="1880">
        <v>0</v>
      </c>
      <c r="D7" s="1880">
        <v>134</v>
      </c>
      <c r="E7" s="1880">
        <v>2</v>
      </c>
      <c r="F7" s="1880">
        <v>22</v>
      </c>
      <c r="G7" s="1880">
        <v>0</v>
      </c>
      <c r="H7" s="1880">
        <v>54</v>
      </c>
      <c r="I7" s="1880">
        <v>0</v>
      </c>
      <c r="J7" s="1881">
        <v>0</v>
      </c>
      <c r="K7" s="1882">
        <f>SUM(B7:J7)</f>
        <v>352</v>
      </c>
      <c r="L7" s="685"/>
    </row>
    <row r="8" spans="1:16" s="686" customFormat="1" ht="21.75" x14ac:dyDescent="0.2">
      <c r="A8" s="1909" t="s">
        <v>112</v>
      </c>
      <c r="B8" s="1883">
        <v>20</v>
      </c>
      <c r="C8" s="1884">
        <v>0</v>
      </c>
      <c r="D8" s="1884">
        <v>101</v>
      </c>
      <c r="E8" s="1884">
        <v>3</v>
      </c>
      <c r="F8" s="1884">
        <v>16</v>
      </c>
      <c r="G8" s="1884">
        <v>0</v>
      </c>
      <c r="H8" s="1884">
        <v>17</v>
      </c>
      <c r="I8" s="1884">
        <v>0</v>
      </c>
      <c r="J8" s="1885">
        <v>0</v>
      </c>
      <c r="K8" s="1882">
        <f>SUM(B8:J8)</f>
        <v>157</v>
      </c>
      <c r="L8" s="685"/>
    </row>
    <row r="9" spans="1:16" s="686" customFormat="1" ht="21.75" x14ac:dyDescent="0.2">
      <c r="A9" s="1909" t="s">
        <v>198</v>
      </c>
      <c r="B9" s="1886">
        <v>101</v>
      </c>
      <c r="C9" s="1887">
        <v>0</v>
      </c>
      <c r="D9" s="1887">
        <v>187</v>
      </c>
      <c r="E9" s="1887">
        <v>2</v>
      </c>
      <c r="F9" s="1887">
        <v>9</v>
      </c>
      <c r="G9" s="1887">
        <v>13</v>
      </c>
      <c r="H9" s="1887">
        <v>25</v>
      </c>
      <c r="I9" s="1887">
        <v>0</v>
      </c>
      <c r="J9" s="1888">
        <v>0</v>
      </c>
      <c r="K9" s="1882">
        <f>SUM(B9:J9)</f>
        <v>337</v>
      </c>
      <c r="L9" s="685"/>
    </row>
    <row r="10" spans="1:16" s="686" customFormat="1" ht="21.75" x14ac:dyDescent="0.2">
      <c r="A10" s="1909" t="s">
        <v>102</v>
      </c>
      <c r="B10" s="1886">
        <v>371</v>
      </c>
      <c r="C10" s="1887">
        <v>0</v>
      </c>
      <c r="D10" s="1887">
        <v>291</v>
      </c>
      <c r="E10" s="1887">
        <v>17</v>
      </c>
      <c r="F10" s="1887">
        <v>65</v>
      </c>
      <c r="G10" s="1887">
        <v>0</v>
      </c>
      <c r="H10" s="1887">
        <v>127</v>
      </c>
      <c r="I10" s="1887">
        <v>0</v>
      </c>
      <c r="J10" s="1888">
        <v>29</v>
      </c>
      <c r="K10" s="1882">
        <f t="shared" ref="K10:K27" si="0">SUM(B10:J10)</f>
        <v>900</v>
      </c>
      <c r="L10" s="685"/>
    </row>
    <row r="11" spans="1:16" s="686" customFormat="1" ht="21.75" x14ac:dyDescent="0.2">
      <c r="A11" s="1909" t="s">
        <v>199</v>
      </c>
      <c r="B11" s="1883">
        <v>19</v>
      </c>
      <c r="C11" s="1884">
        <v>54</v>
      </c>
      <c r="D11" s="1884"/>
      <c r="E11" s="1884">
        <v>25</v>
      </c>
      <c r="F11" s="1884">
        <v>30</v>
      </c>
      <c r="G11" s="1884"/>
      <c r="H11" s="1884">
        <v>40</v>
      </c>
      <c r="I11" s="1884">
        <v>19</v>
      </c>
      <c r="J11" s="1885">
        <v>15</v>
      </c>
      <c r="K11" s="1882">
        <f t="shared" si="0"/>
        <v>202</v>
      </c>
      <c r="L11" s="685"/>
    </row>
    <row r="12" spans="1:16" s="686" customFormat="1" ht="21.75" x14ac:dyDescent="0.2">
      <c r="A12" s="1909" t="s">
        <v>113</v>
      </c>
      <c r="B12" s="1883">
        <v>66</v>
      </c>
      <c r="C12" s="1884">
        <v>0</v>
      </c>
      <c r="D12" s="1884">
        <v>62</v>
      </c>
      <c r="E12" s="1884">
        <v>0</v>
      </c>
      <c r="F12" s="1884">
        <v>11</v>
      </c>
      <c r="G12" s="1884">
        <v>0</v>
      </c>
      <c r="H12" s="1884">
        <v>7</v>
      </c>
      <c r="I12" s="1884">
        <v>0</v>
      </c>
      <c r="J12" s="1885">
        <v>0</v>
      </c>
      <c r="K12" s="1882">
        <f t="shared" si="0"/>
        <v>146</v>
      </c>
      <c r="L12" s="685"/>
    </row>
    <row r="13" spans="1:16" s="686" customFormat="1" ht="21.75" x14ac:dyDescent="0.2">
      <c r="A13" s="1909" t="s">
        <v>590</v>
      </c>
      <c r="B13" s="1883">
        <v>41</v>
      </c>
      <c r="C13" s="1884">
        <v>0</v>
      </c>
      <c r="D13" s="1884">
        <v>20</v>
      </c>
      <c r="E13" s="1884">
        <v>0</v>
      </c>
      <c r="F13" s="1884">
        <v>2</v>
      </c>
      <c r="G13" s="1884">
        <v>0</v>
      </c>
      <c r="H13" s="1884">
        <v>3</v>
      </c>
      <c r="I13" s="1884">
        <v>30</v>
      </c>
      <c r="J13" s="1885">
        <v>17</v>
      </c>
      <c r="K13" s="1882">
        <f t="shared" si="0"/>
        <v>113</v>
      </c>
      <c r="L13" s="685"/>
    </row>
    <row r="14" spans="1:16" s="686" customFormat="1" ht="21.75" x14ac:dyDescent="0.2">
      <c r="A14" s="1909" t="s">
        <v>589</v>
      </c>
      <c r="B14" s="1883">
        <v>407</v>
      </c>
      <c r="C14" s="1884">
        <v>0</v>
      </c>
      <c r="D14" s="1884">
        <v>56</v>
      </c>
      <c r="E14" s="1884">
        <v>0</v>
      </c>
      <c r="F14" s="1884">
        <v>7</v>
      </c>
      <c r="G14" s="1884">
        <v>0</v>
      </c>
      <c r="H14" s="1884">
        <v>16</v>
      </c>
      <c r="I14" s="1884">
        <v>0</v>
      </c>
      <c r="J14" s="1885">
        <v>0</v>
      </c>
      <c r="K14" s="1882">
        <f t="shared" si="0"/>
        <v>486</v>
      </c>
      <c r="L14" s="685"/>
    </row>
    <row r="15" spans="1:16" s="686" customFormat="1" ht="21.75" x14ac:dyDescent="0.2">
      <c r="A15" s="1909" t="s">
        <v>99</v>
      </c>
      <c r="B15" s="1883">
        <v>501</v>
      </c>
      <c r="C15" s="1884">
        <v>0</v>
      </c>
      <c r="D15" s="1884">
        <v>185</v>
      </c>
      <c r="E15" s="1884">
        <v>44</v>
      </c>
      <c r="F15" s="1884">
        <v>211</v>
      </c>
      <c r="G15" s="1884">
        <v>0</v>
      </c>
      <c r="H15" s="1884">
        <v>0</v>
      </c>
      <c r="I15" s="1884">
        <v>0</v>
      </c>
      <c r="J15" s="1885">
        <v>0</v>
      </c>
      <c r="K15" s="1882">
        <f t="shared" si="0"/>
        <v>941</v>
      </c>
      <c r="L15" s="685"/>
    </row>
    <row r="16" spans="1:16" s="686" customFormat="1" ht="21.75" x14ac:dyDescent="0.2">
      <c r="A16" s="1909" t="s">
        <v>110</v>
      </c>
      <c r="B16" s="1886">
        <v>52</v>
      </c>
      <c r="C16" s="1887">
        <v>1</v>
      </c>
      <c r="D16" s="1887">
        <v>112</v>
      </c>
      <c r="E16" s="1887">
        <v>0</v>
      </c>
      <c r="F16" s="1887">
        <v>16</v>
      </c>
      <c r="G16" s="1887">
        <v>0</v>
      </c>
      <c r="H16" s="1887">
        <v>18</v>
      </c>
      <c r="I16" s="1887">
        <v>24</v>
      </c>
      <c r="J16" s="1888"/>
      <c r="K16" s="1882">
        <f t="shared" si="0"/>
        <v>223</v>
      </c>
      <c r="L16" s="685"/>
    </row>
    <row r="17" spans="1:14" s="686" customFormat="1" ht="21.75" x14ac:dyDescent="0.2">
      <c r="A17" s="1909" t="s">
        <v>201</v>
      </c>
      <c r="B17" s="1883">
        <v>110</v>
      </c>
      <c r="C17" s="1884">
        <v>0</v>
      </c>
      <c r="D17" s="1884">
        <v>472</v>
      </c>
      <c r="E17" s="1884">
        <v>0</v>
      </c>
      <c r="F17" s="1884">
        <v>82</v>
      </c>
      <c r="G17" s="1884">
        <v>0</v>
      </c>
      <c r="H17" s="1884">
        <v>30</v>
      </c>
      <c r="I17" s="1884">
        <v>2</v>
      </c>
      <c r="J17" s="1885">
        <v>35</v>
      </c>
      <c r="K17" s="1882">
        <f t="shared" si="0"/>
        <v>731</v>
      </c>
      <c r="L17" s="685"/>
    </row>
    <row r="18" spans="1:14" s="686" customFormat="1" ht="21.75" x14ac:dyDescent="0.2">
      <c r="A18" s="1909" t="s">
        <v>111</v>
      </c>
      <c r="B18" s="1886">
        <v>27</v>
      </c>
      <c r="C18" s="1887">
        <v>0</v>
      </c>
      <c r="D18" s="1887">
        <v>78</v>
      </c>
      <c r="E18" s="1887">
        <v>7</v>
      </c>
      <c r="F18" s="1887">
        <v>37</v>
      </c>
      <c r="G18" s="1887">
        <v>0</v>
      </c>
      <c r="H18" s="1887">
        <v>2</v>
      </c>
      <c r="I18" s="1887">
        <v>1</v>
      </c>
      <c r="J18" s="1888">
        <v>6</v>
      </c>
      <c r="K18" s="1882">
        <f t="shared" si="0"/>
        <v>158</v>
      </c>
      <c r="L18" s="685"/>
    </row>
    <row r="19" spans="1:14" s="686" customFormat="1" ht="21.75" x14ac:dyDescent="0.2">
      <c r="A19" s="1909" t="s">
        <v>97</v>
      </c>
      <c r="B19" s="1886">
        <v>241</v>
      </c>
      <c r="C19" s="1887">
        <v>83</v>
      </c>
      <c r="D19" s="1887">
        <v>161</v>
      </c>
      <c r="E19" s="1887">
        <v>19</v>
      </c>
      <c r="F19" s="1887">
        <v>38</v>
      </c>
      <c r="G19" s="1887">
        <v>0</v>
      </c>
      <c r="H19" s="1887">
        <v>8</v>
      </c>
      <c r="I19" s="1887">
        <v>0</v>
      </c>
      <c r="J19" s="1888">
        <v>0</v>
      </c>
      <c r="K19" s="1882">
        <f t="shared" si="0"/>
        <v>550</v>
      </c>
      <c r="L19" s="685"/>
    </row>
    <row r="20" spans="1:14" s="686" customFormat="1" ht="21.75" x14ac:dyDescent="0.2">
      <c r="A20" s="1909" t="s">
        <v>106</v>
      </c>
      <c r="B20" s="1889">
        <v>213</v>
      </c>
      <c r="C20" s="1890">
        <v>0</v>
      </c>
      <c r="D20" s="1890">
        <v>0</v>
      </c>
      <c r="E20" s="1890">
        <v>0</v>
      </c>
      <c r="F20" s="1890">
        <v>0</v>
      </c>
      <c r="G20" s="1890">
        <v>0</v>
      </c>
      <c r="H20" s="1890">
        <v>0</v>
      </c>
      <c r="I20" s="1890">
        <v>0</v>
      </c>
      <c r="J20" s="1891">
        <v>36</v>
      </c>
      <c r="K20" s="1882">
        <f t="shared" si="0"/>
        <v>249</v>
      </c>
      <c r="L20" s="685"/>
    </row>
    <row r="21" spans="1:14" s="686" customFormat="1" ht="21.75" x14ac:dyDescent="0.2">
      <c r="A21" s="1909" t="s">
        <v>212</v>
      </c>
      <c r="B21" s="1883">
        <v>105</v>
      </c>
      <c r="C21" s="1884">
        <v>7</v>
      </c>
      <c r="D21" s="1884">
        <v>140</v>
      </c>
      <c r="E21" s="1884">
        <v>1</v>
      </c>
      <c r="F21" s="1884">
        <v>18</v>
      </c>
      <c r="G21" s="1884">
        <v>0</v>
      </c>
      <c r="H21" s="1884">
        <v>0</v>
      </c>
      <c r="I21" s="1884">
        <v>0</v>
      </c>
      <c r="J21" s="1885">
        <v>0</v>
      </c>
      <c r="K21" s="1882">
        <f t="shared" si="0"/>
        <v>271</v>
      </c>
      <c r="L21" s="685"/>
    </row>
    <row r="22" spans="1:14" s="686" customFormat="1" ht="21.75" x14ac:dyDescent="0.2">
      <c r="A22" s="1909" t="s">
        <v>104</v>
      </c>
      <c r="B22" s="1892">
        <v>235</v>
      </c>
      <c r="C22" s="1893">
        <v>0</v>
      </c>
      <c r="D22" s="1893">
        <v>0</v>
      </c>
      <c r="E22" s="1893">
        <v>0</v>
      </c>
      <c r="F22" s="1893">
        <v>1</v>
      </c>
      <c r="G22" s="1893">
        <v>0</v>
      </c>
      <c r="H22" s="1893">
        <v>0</v>
      </c>
      <c r="I22" s="1893">
        <v>0</v>
      </c>
      <c r="J22" s="1894">
        <v>0</v>
      </c>
      <c r="K22" s="1882">
        <f t="shared" si="0"/>
        <v>236</v>
      </c>
      <c r="L22" s="685"/>
    </row>
    <row r="23" spans="1:14" s="686" customFormat="1" ht="21.75" x14ac:dyDescent="0.2">
      <c r="A23" s="1909" t="s">
        <v>96</v>
      </c>
      <c r="B23" s="1895">
        <v>514</v>
      </c>
      <c r="C23" s="1896">
        <v>6</v>
      </c>
      <c r="D23" s="1896">
        <v>0</v>
      </c>
      <c r="E23" s="1896">
        <v>0</v>
      </c>
      <c r="F23" s="1896">
        <v>0</v>
      </c>
      <c r="G23" s="1896">
        <v>0</v>
      </c>
      <c r="H23" s="1896">
        <v>0</v>
      </c>
      <c r="I23" s="1896">
        <v>0</v>
      </c>
      <c r="J23" s="1888">
        <v>0</v>
      </c>
      <c r="K23" s="1882">
        <f t="shared" si="0"/>
        <v>520</v>
      </c>
      <c r="L23" s="685"/>
    </row>
    <row r="24" spans="1:14" s="686" customFormat="1" ht="21.75" x14ac:dyDescent="0.2">
      <c r="A24" s="1909" t="s">
        <v>108</v>
      </c>
      <c r="B24" s="1895">
        <v>120</v>
      </c>
      <c r="C24" s="1896">
        <v>5</v>
      </c>
      <c r="D24" s="1896">
        <v>160</v>
      </c>
      <c r="E24" s="1896">
        <v>0</v>
      </c>
      <c r="F24" s="1896">
        <v>2</v>
      </c>
      <c r="G24" s="1887">
        <v>0</v>
      </c>
      <c r="H24" s="1896">
        <v>11</v>
      </c>
      <c r="I24" s="1887">
        <v>0</v>
      </c>
      <c r="J24" s="1888">
        <v>0</v>
      </c>
      <c r="K24" s="1882">
        <f t="shared" si="0"/>
        <v>298</v>
      </c>
      <c r="L24" s="685"/>
    </row>
    <row r="25" spans="1:14" s="686" customFormat="1" ht="21.75" x14ac:dyDescent="0.2">
      <c r="A25" s="1910" t="s">
        <v>202</v>
      </c>
      <c r="B25" s="1886">
        <v>418</v>
      </c>
      <c r="C25" s="1887">
        <v>36</v>
      </c>
      <c r="D25" s="1887">
        <v>87</v>
      </c>
      <c r="E25" s="1887">
        <v>30</v>
      </c>
      <c r="F25" s="1887">
        <v>82</v>
      </c>
      <c r="G25" s="1887">
        <v>0</v>
      </c>
      <c r="H25" s="1887">
        <v>2</v>
      </c>
      <c r="I25" s="1887">
        <v>0</v>
      </c>
      <c r="J25" s="1888">
        <v>0</v>
      </c>
      <c r="K25" s="1882">
        <f t="shared" si="0"/>
        <v>655</v>
      </c>
      <c r="L25" s="685"/>
    </row>
    <row r="26" spans="1:14" s="686" customFormat="1" ht="21.75" x14ac:dyDescent="0.2">
      <c r="A26" s="1911" t="s">
        <v>109</v>
      </c>
      <c r="B26" s="1889">
        <v>161</v>
      </c>
      <c r="C26" s="1890">
        <v>0</v>
      </c>
      <c r="D26" s="1890">
        <v>0</v>
      </c>
      <c r="E26" s="1890">
        <v>0</v>
      </c>
      <c r="F26" s="1890">
        <v>0</v>
      </c>
      <c r="G26" s="1890">
        <v>0</v>
      </c>
      <c r="H26" s="1890">
        <v>0</v>
      </c>
      <c r="I26" s="1890">
        <v>0</v>
      </c>
      <c r="J26" s="1891">
        <v>0</v>
      </c>
      <c r="K26" s="1882">
        <f t="shared" si="0"/>
        <v>161</v>
      </c>
      <c r="L26" s="685"/>
    </row>
    <row r="27" spans="1:14" s="686" customFormat="1" ht="22.5" thickBot="1" x14ac:dyDescent="0.25">
      <c r="A27" s="1912" t="s">
        <v>101</v>
      </c>
      <c r="B27" s="1897">
        <v>480</v>
      </c>
      <c r="C27" s="1898">
        <v>7</v>
      </c>
      <c r="D27" s="1898">
        <v>1</v>
      </c>
      <c r="E27" s="1898">
        <v>3</v>
      </c>
      <c r="F27" s="1898">
        <v>0</v>
      </c>
      <c r="G27" s="1898">
        <v>0</v>
      </c>
      <c r="H27" s="1898">
        <v>0</v>
      </c>
      <c r="I27" s="1898">
        <v>0</v>
      </c>
      <c r="J27" s="1899">
        <v>0</v>
      </c>
      <c r="K27" s="1900">
        <f t="shared" si="0"/>
        <v>491</v>
      </c>
      <c r="L27" s="685"/>
    </row>
    <row r="28" spans="1:14" s="686" customFormat="1" ht="22.5" thickBot="1" x14ac:dyDescent="0.25">
      <c r="A28" s="1903" t="s">
        <v>170</v>
      </c>
      <c r="B28" s="1904">
        <f t="shared" ref="B28:K28" si="1">SUM(B7:B27)</f>
        <v>4342</v>
      </c>
      <c r="C28" s="1905">
        <f t="shared" si="1"/>
        <v>199</v>
      </c>
      <c r="D28" s="1905">
        <f t="shared" si="1"/>
        <v>2247</v>
      </c>
      <c r="E28" s="1905">
        <f t="shared" si="1"/>
        <v>153</v>
      </c>
      <c r="F28" s="1906">
        <f t="shared" si="1"/>
        <v>649</v>
      </c>
      <c r="G28" s="1904">
        <f t="shared" si="1"/>
        <v>13</v>
      </c>
      <c r="H28" s="1905">
        <f t="shared" si="1"/>
        <v>360</v>
      </c>
      <c r="I28" s="1905">
        <f t="shared" si="1"/>
        <v>76</v>
      </c>
      <c r="J28" s="1905">
        <f t="shared" si="1"/>
        <v>138</v>
      </c>
      <c r="K28" s="1907">
        <f t="shared" si="1"/>
        <v>8177</v>
      </c>
      <c r="L28" s="685"/>
    </row>
    <row r="29" spans="1:14" ht="32.25" customHeight="1" x14ac:dyDescent="0.2">
      <c r="D29" s="1320"/>
      <c r="G29" s="2961" t="s">
        <v>1631</v>
      </c>
      <c r="H29" s="2962"/>
      <c r="I29" s="2962"/>
      <c r="J29" s="2962"/>
      <c r="K29" s="2962"/>
      <c r="L29" s="2962"/>
      <c r="M29" s="2962"/>
      <c r="N29" s="2962"/>
    </row>
    <row r="31" spans="1:14" x14ac:dyDescent="0.2">
      <c r="H31" s="1321"/>
    </row>
  </sheetData>
  <mergeCells count="6">
    <mergeCell ref="G29:N29"/>
    <mergeCell ref="D3:N3"/>
    <mergeCell ref="A4:K4"/>
    <mergeCell ref="A5:A6"/>
    <mergeCell ref="B5:J5"/>
    <mergeCell ref="K5:K6"/>
  </mergeCells>
  <printOptions horizontalCentered="1" verticalCentered="1"/>
  <pageMargins left="0.74803149606299213" right="0.74803149606299213" top="0.51181102362204722" bottom="0.39370078740157483" header="0.51181102362204722" footer="0.27559055118110237"/>
  <pageSetup paperSize="9" scale="85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</sheetPr>
  <dimension ref="A1:J46"/>
  <sheetViews>
    <sheetView rightToLeft="1" workbookViewId="0">
      <selection activeCell="C48" sqref="C48"/>
    </sheetView>
  </sheetViews>
  <sheetFormatPr defaultColWidth="9.125" defaultRowHeight="12.75" x14ac:dyDescent="0.2"/>
  <cols>
    <col min="1" max="1" width="9" style="1322" customWidth="1"/>
    <col min="2" max="2" width="18.375" style="1322" bestFit="1" customWidth="1"/>
    <col min="3" max="3" width="33.125" style="1322" bestFit="1" customWidth="1"/>
    <col min="4" max="4" width="10.25" style="1322" bestFit="1" customWidth="1"/>
    <col min="5" max="5" width="20.125" style="1322" bestFit="1" customWidth="1"/>
    <col min="6" max="16384" width="9.125" style="1322"/>
  </cols>
  <sheetData>
    <row r="1" spans="1:10" ht="24" x14ac:dyDescent="0.2">
      <c r="A1" s="3022" t="s">
        <v>1910</v>
      </c>
      <c r="B1" s="3022"/>
      <c r="C1" s="3022"/>
      <c r="D1" s="3022"/>
      <c r="E1" s="3022"/>
    </row>
    <row r="2" spans="1:10" ht="63" x14ac:dyDescent="0.2">
      <c r="A2" s="1913" t="s">
        <v>460</v>
      </c>
      <c r="B2" s="1914" t="s">
        <v>1498</v>
      </c>
      <c r="C2" s="1915" t="s">
        <v>1644</v>
      </c>
      <c r="D2" s="1915" t="s">
        <v>1645</v>
      </c>
      <c r="E2" s="1916" t="s">
        <v>1646</v>
      </c>
      <c r="G2" s="3023"/>
      <c r="H2" s="3023"/>
      <c r="I2" s="3023"/>
      <c r="J2" s="3023"/>
    </row>
    <row r="3" spans="1:10" ht="15.75" x14ac:dyDescent="0.4">
      <c r="A3" s="3024" t="s">
        <v>107</v>
      </c>
      <c r="B3" s="1920" t="s">
        <v>1647</v>
      </c>
      <c r="C3" s="1920" t="s">
        <v>1648</v>
      </c>
      <c r="D3" s="1921">
        <v>19</v>
      </c>
      <c r="E3" s="1922" t="s">
        <v>1649</v>
      </c>
    </row>
    <row r="4" spans="1:10" ht="15.75" x14ac:dyDescent="0.4">
      <c r="A4" s="3025"/>
      <c r="B4" s="1920" t="s">
        <v>1521</v>
      </c>
      <c r="C4" s="1920" t="s">
        <v>1648</v>
      </c>
      <c r="D4" s="1921">
        <v>19</v>
      </c>
      <c r="E4" s="1922" t="s">
        <v>1650</v>
      </c>
    </row>
    <row r="5" spans="1:10" ht="15.75" x14ac:dyDescent="0.4">
      <c r="A5" s="3026"/>
      <c r="B5" s="1920" t="s">
        <v>1651</v>
      </c>
      <c r="C5" s="1920" t="s">
        <v>1648</v>
      </c>
      <c r="D5" s="1921">
        <v>19</v>
      </c>
      <c r="E5" s="1922" t="s">
        <v>1652</v>
      </c>
    </row>
    <row r="6" spans="1:10" ht="18.75" x14ac:dyDescent="0.4">
      <c r="A6" s="1917" t="s">
        <v>112</v>
      </c>
      <c r="B6" s="1920" t="s">
        <v>1653</v>
      </c>
      <c r="C6" s="1920" t="s">
        <v>1654</v>
      </c>
      <c r="D6" s="1921">
        <v>1886.44</v>
      </c>
      <c r="E6" s="1923" t="s">
        <v>1655</v>
      </c>
    </row>
    <row r="7" spans="1:10" ht="18.75" x14ac:dyDescent="0.4">
      <c r="A7" s="1917" t="s">
        <v>111</v>
      </c>
      <c r="B7" s="1920" t="s">
        <v>1656</v>
      </c>
      <c r="C7" s="1920" t="s">
        <v>1657</v>
      </c>
      <c r="D7" s="1921">
        <v>727.27</v>
      </c>
      <c r="E7" s="1923" t="s">
        <v>1658</v>
      </c>
    </row>
    <row r="8" spans="1:10" ht="18.75" x14ac:dyDescent="0.4">
      <c r="A8" s="1917" t="s">
        <v>198</v>
      </c>
      <c r="B8" s="1920" t="s">
        <v>1659</v>
      </c>
      <c r="C8" s="1920" t="s">
        <v>1660</v>
      </c>
      <c r="D8" s="1921">
        <v>2217</v>
      </c>
      <c r="E8" s="1923" t="s">
        <v>1655</v>
      </c>
    </row>
    <row r="9" spans="1:10" ht="15.75" x14ac:dyDescent="0.4">
      <c r="A9" s="3024" t="s">
        <v>102</v>
      </c>
      <c r="B9" s="1920" t="s">
        <v>1661</v>
      </c>
      <c r="C9" s="1920" t="s">
        <v>1662</v>
      </c>
      <c r="D9" s="1921">
        <v>1044</v>
      </c>
      <c r="E9" s="1922" t="s">
        <v>1663</v>
      </c>
    </row>
    <row r="10" spans="1:10" ht="15.75" x14ac:dyDescent="0.4">
      <c r="A10" s="3025"/>
      <c r="B10" s="1920" t="s">
        <v>1664</v>
      </c>
      <c r="C10" s="1920" t="s">
        <v>1665</v>
      </c>
      <c r="D10" s="1921">
        <v>1117</v>
      </c>
      <c r="E10" s="1923" t="s">
        <v>1655</v>
      </c>
    </row>
    <row r="11" spans="1:10" ht="15.75" x14ac:dyDescent="0.4">
      <c r="A11" s="3025"/>
      <c r="B11" s="1920" t="s">
        <v>1666</v>
      </c>
      <c r="C11" s="1920" t="s">
        <v>1667</v>
      </c>
      <c r="D11" s="1921">
        <v>1317</v>
      </c>
      <c r="E11" s="1923" t="s">
        <v>1655</v>
      </c>
    </row>
    <row r="12" spans="1:10" ht="15.75" x14ac:dyDescent="0.4">
      <c r="A12" s="3026"/>
      <c r="B12" s="1920" t="s">
        <v>1668</v>
      </c>
      <c r="C12" s="1920" t="s">
        <v>1669</v>
      </c>
      <c r="D12" s="1921">
        <v>1117</v>
      </c>
      <c r="E12" s="1923" t="s">
        <v>1655</v>
      </c>
    </row>
    <row r="13" spans="1:10" ht="18.75" x14ac:dyDescent="0.4">
      <c r="A13" s="1917" t="s">
        <v>588</v>
      </c>
      <c r="B13" s="1920" t="s">
        <v>1670</v>
      </c>
      <c r="C13" s="1920" t="s">
        <v>1671</v>
      </c>
      <c r="D13" s="1921">
        <v>1484</v>
      </c>
      <c r="E13" s="1923" t="s">
        <v>1672</v>
      </c>
    </row>
    <row r="14" spans="1:10" ht="18.75" x14ac:dyDescent="0.4">
      <c r="A14" s="1917" t="s">
        <v>199</v>
      </c>
      <c r="B14" s="1920" t="s">
        <v>1673</v>
      </c>
      <c r="C14" s="1920" t="s">
        <v>1674</v>
      </c>
      <c r="D14" s="1921">
        <v>2109</v>
      </c>
      <c r="E14" s="1923" t="s">
        <v>1675</v>
      </c>
    </row>
    <row r="15" spans="1:10" ht="18.75" x14ac:dyDescent="0.4">
      <c r="A15" s="1917" t="s">
        <v>108</v>
      </c>
      <c r="B15" s="1920" t="s">
        <v>1676</v>
      </c>
      <c r="C15" s="1920" t="s">
        <v>1677</v>
      </c>
      <c r="D15" s="1921">
        <v>1567</v>
      </c>
      <c r="E15" s="1923" t="s">
        <v>1655</v>
      </c>
    </row>
    <row r="16" spans="1:10" ht="15.75" x14ac:dyDescent="0.2">
      <c r="A16" s="3021" t="s">
        <v>590</v>
      </c>
      <c r="B16" s="1921" t="s">
        <v>1678</v>
      </c>
      <c r="C16" s="1924" t="s">
        <v>1679</v>
      </c>
      <c r="D16" s="1921">
        <v>77</v>
      </c>
      <c r="E16" s="1925" t="s">
        <v>1680</v>
      </c>
    </row>
    <row r="17" spans="1:5" ht="15.75" x14ac:dyDescent="0.2">
      <c r="A17" s="3021"/>
      <c r="B17" s="1921" t="s">
        <v>1681</v>
      </c>
      <c r="C17" s="1926" t="s">
        <v>1682</v>
      </c>
      <c r="D17" s="1921">
        <v>0</v>
      </c>
      <c r="E17" s="1922" t="s">
        <v>1683</v>
      </c>
    </row>
    <row r="18" spans="1:5" ht="15.75" x14ac:dyDescent="0.4">
      <c r="A18" s="3021" t="s">
        <v>589</v>
      </c>
      <c r="B18" s="1920" t="s">
        <v>1684</v>
      </c>
      <c r="C18" s="1920" t="s">
        <v>1685</v>
      </c>
      <c r="D18" s="1927">
        <v>1155</v>
      </c>
      <c r="E18" s="1923" t="s">
        <v>1655</v>
      </c>
    </row>
    <row r="19" spans="1:5" ht="15.75" x14ac:dyDescent="0.4">
      <c r="A19" s="3021"/>
      <c r="B19" s="1920" t="s">
        <v>1686</v>
      </c>
      <c r="C19" s="1920" t="s">
        <v>1687</v>
      </c>
      <c r="D19" s="1921">
        <v>1352</v>
      </c>
      <c r="E19" s="1923" t="s">
        <v>1655</v>
      </c>
    </row>
    <row r="20" spans="1:5" ht="15.75" x14ac:dyDescent="0.4">
      <c r="A20" s="3021"/>
      <c r="B20" s="1920" t="s">
        <v>1688</v>
      </c>
      <c r="C20" s="1920" t="s">
        <v>1689</v>
      </c>
      <c r="D20" s="1921">
        <v>1407</v>
      </c>
      <c r="E20" s="1923" t="s">
        <v>1655</v>
      </c>
    </row>
    <row r="21" spans="1:5" ht="15.75" x14ac:dyDescent="0.4">
      <c r="A21" s="3021"/>
      <c r="B21" s="1920" t="s">
        <v>1690</v>
      </c>
      <c r="C21" s="1920" t="s">
        <v>1691</v>
      </c>
      <c r="D21" s="1921">
        <v>1658</v>
      </c>
      <c r="E21" s="1923" t="s">
        <v>1655</v>
      </c>
    </row>
    <row r="22" spans="1:5" ht="15.75" x14ac:dyDescent="0.4">
      <c r="A22" s="3021"/>
      <c r="B22" s="1920" t="s">
        <v>1692</v>
      </c>
      <c r="C22" s="1920" t="s">
        <v>1693</v>
      </c>
      <c r="D22" s="1921">
        <v>1517</v>
      </c>
      <c r="E22" s="1923" t="s">
        <v>1655</v>
      </c>
    </row>
    <row r="23" spans="1:5" ht="15.75" x14ac:dyDescent="0.4">
      <c r="A23" s="3021"/>
      <c r="B23" s="1920" t="s">
        <v>1694</v>
      </c>
      <c r="C23" s="1920" t="s">
        <v>1695</v>
      </c>
      <c r="D23" s="1927">
        <v>1308</v>
      </c>
      <c r="E23" s="1923" t="s">
        <v>1655</v>
      </c>
    </row>
    <row r="24" spans="1:5" ht="15.75" x14ac:dyDescent="0.4">
      <c r="A24" s="3021" t="s">
        <v>99</v>
      </c>
      <c r="B24" s="1920" t="s">
        <v>1696</v>
      </c>
      <c r="C24" s="1920" t="s">
        <v>1697</v>
      </c>
      <c r="D24" s="1921">
        <v>1396</v>
      </c>
      <c r="E24" s="1923" t="s">
        <v>1698</v>
      </c>
    </row>
    <row r="25" spans="1:5" ht="15.75" x14ac:dyDescent="0.4">
      <c r="A25" s="3021"/>
      <c r="B25" s="1920" t="s">
        <v>1699</v>
      </c>
      <c r="C25" s="1920" t="s">
        <v>1700</v>
      </c>
      <c r="D25" s="1921">
        <v>1050</v>
      </c>
      <c r="E25" s="1923" t="s">
        <v>1701</v>
      </c>
    </row>
    <row r="26" spans="1:5" ht="15.75" x14ac:dyDescent="0.4">
      <c r="A26" s="3021" t="s">
        <v>110</v>
      </c>
      <c r="B26" s="1920" t="s">
        <v>1702</v>
      </c>
      <c r="C26" s="1920" t="s">
        <v>1703</v>
      </c>
      <c r="D26" s="1921">
        <v>1841.4</v>
      </c>
      <c r="E26" s="1923" t="s">
        <v>1704</v>
      </c>
    </row>
    <row r="27" spans="1:5" ht="15.75" x14ac:dyDescent="0.2">
      <c r="A27" s="3021"/>
      <c r="B27" s="1921" t="s">
        <v>1594</v>
      </c>
      <c r="C27" s="1921" t="s">
        <v>1705</v>
      </c>
      <c r="D27" s="1927">
        <v>1841.4</v>
      </c>
      <c r="E27" s="1923" t="s">
        <v>1701</v>
      </c>
    </row>
    <row r="28" spans="1:5" ht="15.75" x14ac:dyDescent="0.4">
      <c r="A28" s="3021" t="s">
        <v>201</v>
      </c>
      <c r="B28" s="1920" t="s">
        <v>1706</v>
      </c>
      <c r="C28" s="1920" t="s">
        <v>1707</v>
      </c>
      <c r="D28" s="1921">
        <v>1435</v>
      </c>
      <c r="E28" s="1923" t="s">
        <v>1708</v>
      </c>
    </row>
    <row r="29" spans="1:5" ht="15.75" x14ac:dyDescent="0.4">
      <c r="A29" s="3021"/>
      <c r="B29" s="1920" t="s">
        <v>1709</v>
      </c>
      <c r="C29" s="1920" t="s">
        <v>1710</v>
      </c>
      <c r="D29" s="1921">
        <v>1873</v>
      </c>
      <c r="E29" s="1923" t="s">
        <v>1655</v>
      </c>
    </row>
    <row r="30" spans="1:5" ht="15.75" x14ac:dyDescent="0.4">
      <c r="A30" s="3021"/>
      <c r="B30" s="1920" t="s">
        <v>1711</v>
      </c>
      <c r="C30" s="1920" t="s">
        <v>1712</v>
      </c>
      <c r="D30" s="1921">
        <v>1829</v>
      </c>
      <c r="E30" s="1923" t="s">
        <v>1713</v>
      </c>
    </row>
    <row r="31" spans="1:5" ht="15.75" x14ac:dyDescent="0.4">
      <c r="A31" s="3021"/>
      <c r="B31" s="1920" t="s">
        <v>1714</v>
      </c>
      <c r="C31" s="1920" t="s">
        <v>1715</v>
      </c>
      <c r="D31" s="1921">
        <v>2069</v>
      </c>
      <c r="E31" s="1923" t="s">
        <v>1655</v>
      </c>
    </row>
    <row r="32" spans="1:5" ht="15.75" x14ac:dyDescent="0.4">
      <c r="A32" s="3021"/>
      <c r="B32" s="1920" t="s">
        <v>1716</v>
      </c>
      <c r="C32" s="1920" t="s">
        <v>1717</v>
      </c>
      <c r="D32" s="1921">
        <v>1463</v>
      </c>
      <c r="E32" s="1923" t="s">
        <v>1655</v>
      </c>
    </row>
    <row r="33" spans="1:5" ht="15.75" x14ac:dyDescent="0.4">
      <c r="A33" s="3021" t="s">
        <v>97</v>
      </c>
      <c r="B33" s="1920" t="s">
        <v>1718</v>
      </c>
      <c r="C33" s="1920" t="s">
        <v>1719</v>
      </c>
      <c r="D33" s="1921">
        <v>1689</v>
      </c>
      <c r="E33" s="1923" t="s">
        <v>1720</v>
      </c>
    </row>
    <row r="34" spans="1:5" ht="15.75" x14ac:dyDescent="0.4">
      <c r="A34" s="3021"/>
      <c r="B34" s="1920" t="s">
        <v>1721</v>
      </c>
      <c r="C34" s="1920" t="s">
        <v>1722</v>
      </c>
      <c r="D34" s="1920">
        <v>2060</v>
      </c>
      <c r="E34" s="1923" t="s">
        <v>1655</v>
      </c>
    </row>
    <row r="35" spans="1:5" ht="15.75" x14ac:dyDescent="0.4">
      <c r="A35" s="3024" t="s">
        <v>202</v>
      </c>
      <c r="B35" s="1920" t="s">
        <v>1723</v>
      </c>
      <c r="C35" s="1920" t="s">
        <v>1724</v>
      </c>
      <c r="D35" s="1921">
        <v>1130</v>
      </c>
      <c r="E35" s="1922" t="s">
        <v>1725</v>
      </c>
    </row>
    <row r="36" spans="1:5" ht="15.75" x14ac:dyDescent="0.4">
      <c r="A36" s="3025"/>
      <c r="B36" s="1920" t="s">
        <v>1726</v>
      </c>
      <c r="C36" s="1920" t="s">
        <v>1727</v>
      </c>
      <c r="D36" s="1921">
        <v>1420</v>
      </c>
      <c r="E36" s="1922" t="s">
        <v>1728</v>
      </c>
    </row>
    <row r="37" spans="1:5" ht="31.5" x14ac:dyDescent="0.4">
      <c r="A37" s="3025"/>
      <c r="B37" s="1920" t="s">
        <v>1729</v>
      </c>
      <c r="C37" s="1931" t="s">
        <v>1730</v>
      </c>
      <c r="D37" s="1921" t="s">
        <v>1731</v>
      </c>
      <c r="E37" s="1922" t="s">
        <v>1732</v>
      </c>
    </row>
    <row r="38" spans="1:5" ht="31.5" customHeight="1" x14ac:dyDescent="0.4">
      <c r="A38" s="3026"/>
      <c r="B38" s="1920" t="s">
        <v>1733</v>
      </c>
      <c r="C38" s="1932" t="s">
        <v>1911</v>
      </c>
      <c r="D38" s="1921" t="s">
        <v>1734</v>
      </c>
      <c r="E38" s="1922" t="s">
        <v>1735</v>
      </c>
    </row>
    <row r="39" spans="1:5" ht="18.75" x14ac:dyDescent="0.4">
      <c r="A39" s="1918" t="s">
        <v>106</v>
      </c>
      <c r="B39" s="1920" t="s">
        <v>1736</v>
      </c>
      <c r="C39" s="1920" t="s">
        <v>1737</v>
      </c>
      <c r="D39" s="1921">
        <v>1783</v>
      </c>
      <c r="E39" s="1923" t="s">
        <v>1738</v>
      </c>
    </row>
    <row r="40" spans="1:5" ht="15.75" x14ac:dyDescent="0.4">
      <c r="A40" s="3021" t="s">
        <v>96</v>
      </c>
      <c r="B40" s="1920" t="s">
        <v>1589</v>
      </c>
      <c r="C40" s="1920" t="s">
        <v>1739</v>
      </c>
      <c r="D40" s="1921">
        <v>1900</v>
      </c>
      <c r="E40" s="1923" t="s">
        <v>1655</v>
      </c>
    </row>
    <row r="41" spans="1:5" ht="15.75" x14ac:dyDescent="0.4">
      <c r="A41" s="3021"/>
      <c r="B41" s="1920" t="s">
        <v>1740</v>
      </c>
      <c r="C41" s="1920" t="s">
        <v>1741</v>
      </c>
      <c r="D41" s="1921">
        <v>1550</v>
      </c>
      <c r="E41" s="1923" t="s">
        <v>1655</v>
      </c>
    </row>
    <row r="42" spans="1:5" ht="18.75" x14ac:dyDescent="0.4">
      <c r="A42" s="1917" t="s">
        <v>101</v>
      </c>
      <c r="B42" s="1920" t="s">
        <v>1742</v>
      </c>
      <c r="C42" s="1920" t="s">
        <v>1743</v>
      </c>
      <c r="D42" s="1921">
        <v>2032</v>
      </c>
      <c r="E42" s="1923" t="s">
        <v>1744</v>
      </c>
    </row>
    <row r="43" spans="1:5" ht="18.75" x14ac:dyDescent="0.2">
      <c r="A43" s="1917" t="s">
        <v>212</v>
      </c>
      <c r="B43" s="1928" t="s">
        <v>1745</v>
      </c>
      <c r="C43" s="1928" t="s">
        <v>1746</v>
      </c>
      <c r="D43" s="1928">
        <v>2236</v>
      </c>
      <c r="E43" s="1923" t="s">
        <v>1747</v>
      </c>
    </row>
    <row r="44" spans="1:5" ht="18.75" x14ac:dyDescent="0.2">
      <c r="A44" s="1917" t="s">
        <v>109</v>
      </c>
      <c r="B44" s="1928" t="s">
        <v>1748</v>
      </c>
      <c r="C44" s="1928" t="s">
        <v>1749</v>
      </c>
      <c r="D44" s="1928">
        <v>1793</v>
      </c>
      <c r="E44" s="1923" t="s">
        <v>1701</v>
      </c>
    </row>
    <row r="45" spans="1:5" ht="19.5" thickBot="1" x14ac:dyDescent="0.25">
      <c r="A45" s="1919" t="s">
        <v>104</v>
      </c>
      <c r="B45" s="1929" t="s">
        <v>1750</v>
      </c>
      <c r="C45" s="1929" t="s">
        <v>1751</v>
      </c>
      <c r="D45" s="1929">
        <v>2550</v>
      </c>
      <c r="E45" s="1930" t="s">
        <v>1752</v>
      </c>
    </row>
    <row r="46" spans="1:5" s="1194" customFormat="1" x14ac:dyDescent="0.2">
      <c r="A46" s="1194" t="s">
        <v>1631</v>
      </c>
    </row>
  </sheetData>
  <mergeCells count="12">
    <mergeCell ref="A40:A41"/>
    <mergeCell ref="A1:E1"/>
    <mergeCell ref="G2:J2"/>
    <mergeCell ref="A3:A5"/>
    <mergeCell ref="A9:A12"/>
    <mergeCell ref="A16:A17"/>
    <mergeCell ref="A18:A23"/>
    <mergeCell ref="A24:A25"/>
    <mergeCell ref="A26:A27"/>
    <mergeCell ref="A28:A32"/>
    <mergeCell ref="A33:A34"/>
    <mergeCell ref="A35:A38"/>
  </mergeCells>
  <printOptions horizontalCentered="1" verticalCentered="1"/>
  <pageMargins left="0.51181102362204722" right="0.51181102362204722" top="0.35433070866141736" bottom="0.35433070866141736" header="0.31496062992125984" footer="0.31496062992125984"/>
  <pageSetup scale="75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</sheetPr>
  <dimension ref="A1:M29"/>
  <sheetViews>
    <sheetView showGridLines="0" rightToLeft="1" workbookViewId="0">
      <selection activeCell="I17" sqref="I17"/>
    </sheetView>
  </sheetViews>
  <sheetFormatPr defaultColWidth="9.125" defaultRowHeight="12.75" x14ac:dyDescent="0.2"/>
  <cols>
    <col min="1" max="1" width="10.625" style="1194" bestFit="1" customWidth="1"/>
    <col min="2" max="2" width="10.25" style="1194" bestFit="1" customWidth="1"/>
    <col min="3" max="3" width="8.125" style="1194" bestFit="1" customWidth="1"/>
    <col min="4" max="4" width="12.375" style="1194" bestFit="1" customWidth="1"/>
    <col min="5" max="5" width="8.125" style="1194" bestFit="1" customWidth="1"/>
    <col min="6" max="6" width="9.125" style="1194" bestFit="1" customWidth="1"/>
    <col min="7" max="9" width="8.125" style="1194" bestFit="1" customWidth="1"/>
    <col min="10" max="10" width="13.125" style="1194" bestFit="1" customWidth="1"/>
    <col min="11" max="11" width="6.125" style="1194" bestFit="1" customWidth="1"/>
    <col min="12" max="16384" width="9.125" style="1194"/>
  </cols>
  <sheetData>
    <row r="1" spans="1:13" ht="24.75" thickBot="1" x14ac:dyDescent="0.25">
      <c r="A1" s="3027" t="s">
        <v>1912</v>
      </c>
      <c r="B1" s="3027"/>
      <c r="C1" s="3027"/>
      <c r="D1" s="3027"/>
      <c r="E1" s="3027"/>
      <c r="F1" s="3027"/>
      <c r="G1" s="3027"/>
      <c r="H1" s="3027"/>
      <c r="I1" s="3027"/>
      <c r="J1" s="2847"/>
      <c r="K1" s="2847"/>
    </row>
    <row r="2" spans="1:13" ht="16.5" customHeight="1" thickTop="1" x14ac:dyDescent="0.2">
      <c r="A2" s="3028" t="s">
        <v>921</v>
      </c>
      <c r="B2" s="3031" t="s">
        <v>1753</v>
      </c>
      <c r="C2" s="3032"/>
      <c r="D2" s="3032"/>
      <c r="E2" s="3033"/>
      <c r="F2" s="3031" t="s">
        <v>1754</v>
      </c>
      <c r="G2" s="3032"/>
      <c r="H2" s="3032"/>
      <c r="I2" s="3033"/>
      <c r="J2" s="3034" t="s">
        <v>170</v>
      </c>
      <c r="K2" s="3035"/>
    </row>
    <row r="3" spans="1:13" ht="16.5" customHeight="1" x14ac:dyDescent="0.2">
      <c r="A3" s="3029"/>
      <c r="B3" s="3038" t="s">
        <v>1755</v>
      </c>
      <c r="C3" s="3039"/>
      <c r="D3" s="3040" t="s">
        <v>1756</v>
      </c>
      <c r="E3" s="3041"/>
      <c r="F3" s="3038" t="s">
        <v>1755</v>
      </c>
      <c r="G3" s="3039"/>
      <c r="H3" s="3040" t="s">
        <v>1757</v>
      </c>
      <c r="I3" s="3041"/>
      <c r="J3" s="3036"/>
      <c r="K3" s="3037"/>
    </row>
    <row r="4" spans="1:13" ht="16.5" customHeight="1" thickBot="1" x14ac:dyDescent="0.25">
      <c r="A4" s="3030"/>
      <c r="B4" s="1933" t="s">
        <v>1758</v>
      </c>
      <c r="C4" s="1934" t="s">
        <v>1415</v>
      </c>
      <c r="D4" s="1934" t="s">
        <v>1758</v>
      </c>
      <c r="E4" s="1935" t="s">
        <v>1415</v>
      </c>
      <c r="F4" s="1933" t="s">
        <v>1758</v>
      </c>
      <c r="G4" s="1934" t="s">
        <v>1415</v>
      </c>
      <c r="H4" s="1934" t="s">
        <v>1758</v>
      </c>
      <c r="I4" s="1935" t="s">
        <v>1415</v>
      </c>
      <c r="J4" s="1933" t="s">
        <v>1758</v>
      </c>
      <c r="K4" s="1935" t="s">
        <v>1415</v>
      </c>
    </row>
    <row r="5" spans="1:13" ht="21.75" thickTop="1" x14ac:dyDescent="0.2">
      <c r="A5" s="1944" t="s">
        <v>112</v>
      </c>
      <c r="B5" s="1323">
        <v>29360.7</v>
      </c>
      <c r="C5" s="1324">
        <v>91</v>
      </c>
      <c r="D5" s="1324">
        <v>0</v>
      </c>
      <c r="E5" s="1324">
        <v>0</v>
      </c>
      <c r="F5" s="1324">
        <v>131</v>
      </c>
      <c r="G5" s="1324">
        <v>5</v>
      </c>
      <c r="H5" s="1325">
        <v>0</v>
      </c>
      <c r="I5" s="1326"/>
      <c r="J5" s="1327">
        <v>29491.7</v>
      </c>
      <c r="K5" s="1328">
        <v>96</v>
      </c>
      <c r="L5" s="1329"/>
      <c r="M5" s="1329"/>
    </row>
    <row r="6" spans="1:13" ht="21" x14ac:dyDescent="0.2">
      <c r="A6" s="1945" t="s">
        <v>102</v>
      </c>
      <c r="B6" s="1323"/>
      <c r="C6" s="1324"/>
      <c r="D6" s="1324">
        <v>8000</v>
      </c>
      <c r="E6" s="1324">
        <v>1</v>
      </c>
      <c r="F6" s="1324"/>
      <c r="G6" s="1324"/>
      <c r="H6" s="1330"/>
      <c r="I6" s="1331"/>
      <c r="J6" s="1332">
        <v>8000</v>
      </c>
      <c r="K6" s="1333">
        <v>1</v>
      </c>
      <c r="L6" s="1329"/>
      <c r="M6" s="1329"/>
    </row>
    <row r="7" spans="1:13" ht="21" x14ac:dyDescent="0.2">
      <c r="A7" s="1946" t="s">
        <v>111</v>
      </c>
      <c r="B7" s="1323">
        <v>27767</v>
      </c>
      <c r="C7" s="1324">
        <v>47</v>
      </c>
      <c r="D7" s="1324">
        <v>0</v>
      </c>
      <c r="E7" s="1324">
        <v>0</v>
      </c>
      <c r="F7" s="1324">
        <v>150</v>
      </c>
      <c r="G7" s="1324">
        <v>9</v>
      </c>
      <c r="H7" s="1330">
        <v>0</v>
      </c>
      <c r="I7" s="1331"/>
      <c r="J7" s="1332">
        <v>27917</v>
      </c>
      <c r="K7" s="1333">
        <v>56</v>
      </c>
      <c r="L7" s="1329"/>
      <c r="M7" s="1329"/>
    </row>
    <row r="8" spans="1:13" ht="21" x14ac:dyDescent="0.2">
      <c r="A8" s="1946" t="s">
        <v>198</v>
      </c>
      <c r="B8" s="1324">
        <v>4718.83</v>
      </c>
      <c r="C8" s="1324">
        <v>14</v>
      </c>
      <c r="D8" s="1324"/>
      <c r="E8" s="1324"/>
      <c r="F8" s="1324">
        <v>872.4</v>
      </c>
      <c r="G8" s="1324">
        <v>11</v>
      </c>
      <c r="H8" s="1330"/>
      <c r="I8" s="1331"/>
      <c r="J8" s="1332">
        <v>5591.23</v>
      </c>
      <c r="K8" s="1333">
        <v>25</v>
      </c>
      <c r="L8" s="1329"/>
      <c r="M8" s="1329"/>
    </row>
    <row r="9" spans="1:13" ht="21" x14ac:dyDescent="0.2">
      <c r="A9" s="1946" t="s">
        <v>199</v>
      </c>
      <c r="B9" s="1323">
        <v>22420</v>
      </c>
      <c r="C9" s="1324">
        <v>68</v>
      </c>
      <c r="D9" s="1324"/>
      <c r="E9" s="1324"/>
      <c r="F9" s="1324">
        <v>1920</v>
      </c>
      <c r="G9" s="1324">
        <v>27</v>
      </c>
      <c r="H9" s="1330"/>
      <c r="I9" s="1331"/>
      <c r="J9" s="1332">
        <v>24340</v>
      </c>
      <c r="K9" s="1333">
        <v>95</v>
      </c>
      <c r="L9" s="1329"/>
      <c r="M9" s="1329"/>
    </row>
    <row r="10" spans="1:13" ht="21" x14ac:dyDescent="0.2">
      <c r="A10" s="1946" t="s">
        <v>98</v>
      </c>
      <c r="B10" s="1323">
        <v>0</v>
      </c>
      <c r="C10" s="1324">
        <v>0</v>
      </c>
      <c r="D10" s="1324">
        <v>0</v>
      </c>
      <c r="E10" s="1324">
        <v>0</v>
      </c>
      <c r="F10" s="1324">
        <v>0</v>
      </c>
      <c r="G10" s="1324">
        <v>0</v>
      </c>
      <c r="H10" s="1330">
        <v>0</v>
      </c>
      <c r="I10" s="1331">
        <v>0</v>
      </c>
      <c r="J10" s="1332">
        <v>0</v>
      </c>
      <c r="K10" s="1333">
        <v>0</v>
      </c>
      <c r="L10" s="1329"/>
      <c r="M10" s="1329"/>
    </row>
    <row r="11" spans="1:13" ht="21" x14ac:dyDescent="0.2">
      <c r="A11" s="1946" t="s">
        <v>108</v>
      </c>
      <c r="B11" s="1323">
        <v>0</v>
      </c>
      <c r="C11" s="1324">
        <v>0</v>
      </c>
      <c r="D11" s="1324">
        <v>400</v>
      </c>
      <c r="E11" s="1324">
        <v>1</v>
      </c>
      <c r="F11" s="1324">
        <v>0</v>
      </c>
      <c r="G11" s="1324">
        <v>0</v>
      </c>
      <c r="H11" s="1330">
        <v>0</v>
      </c>
      <c r="I11" s="1331"/>
      <c r="J11" s="1332">
        <v>400</v>
      </c>
      <c r="K11" s="1333">
        <v>1</v>
      </c>
      <c r="L11" s="1329"/>
      <c r="M11" s="1329"/>
    </row>
    <row r="12" spans="1:13" ht="21" x14ac:dyDescent="0.2">
      <c r="A12" s="1946" t="s">
        <v>99</v>
      </c>
      <c r="B12" s="1324">
        <v>6044</v>
      </c>
      <c r="C12" s="1324">
        <v>3</v>
      </c>
      <c r="D12" s="1324"/>
      <c r="E12" s="1324"/>
      <c r="F12" s="1324"/>
      <c r="G12" s="1324"/>
      <c r="H12" s="1330"/>
      <c r="I12" s="1331"/>
      <c r="J12" s="1332">
        <v>6044</v>
      </c>
      <c r="K12" s="1333">
        <v>3</v>
      </c>
      <c r="L12" s="1329"/>
      <c r="M12" s="1329"/>
    </row>
    <row r="13" spans="1:13" ht="21" x14ac:dyDescent="0.2">
      <c r="A13" s="1946" t="s">
        <v>110</v>
      </c>
      <c r="B13" s="1334">
        <v>3216</v>
      </c>
      <c r="C13" s="1334">
        <v>6</v>
      </c>
      <c r="D13" s="1334">
        <v>0</v>
      </c>
      <c r="E13" s="1334">
        <v>0</v>
      </c>
      <c r="F13" s="1334">
        <v>0</v>
      </c>
      <c r="G13" s="1334">
        <v>0</v>
      </c>
      <c r="H13" s="1335">
        <v>0</v>
      </c>
      <c r="I13" s="1336">
        <v>0</v>
      </c>
      <c r="J13" s="1332">
        <v>3216</v>
      </c>
      <c r="K13" s="1333">
        <v>6</v>
      </c>
      <c r="L13" s="1329"/>
      <c r="M13" s="1329"/>
    </row>
    <row r="14" spans="1:13" ht="21" x14ac:dyDescent="0.2">
      <c r="A14" s="1946" t="s">
        <v>212</v>
      </c>
      <c r="B14" s="1334">
        <v>0</v>
      </c>
      <c r="C14" s="1334">
        <v>0</v>
      </c>
      <c r="D14" s="1334">
        <v>0</v>
      </c>
      <c r="E14" s="1334">
        <v>0</v>
      </c>
      <c r="F14" s="1334">
        <v>0</v>
      </c>
      <c r="G14" s="1334">
        <v>0</v>
      </c>
      <c r="H14" s="1335">
        <v>0</v>
      </c>
      <c r="I14" s="1336">
        <v>0</v>
      </c>
      <c r="J14" s="1332">
        <v>0</v>
      </c>
      <c r="K14" s="1333">
        <v>0</v>
      </c>
      <c r="L14" s="1329"/>
      <c r="M14" s="1329"/>
    </row>
    <row r="15" spans="1:13" ht="21" x14ac:dyDescent="0.2">
      <c r="A15" s="1946" t="s">
        <v>202</v>
      </c>
      <c r="B15" s="1334">
        <v>0</v>
      </c>
      <c r="C15" s="1334">
        <v>0</v>
      </c>
      <c r="D15" s="1334">
        <v>812</v>
      </c>
      <c r="E15" s="1334">
        <v>1</v>
      </c>
      <c r="F15" s="1334">
        <v>0</v>
      </c>
      <c r="G15" s="1334">
        <v>0</v>
      </c>
      <c r="H15" s="1335">
        <v>0</v>
      </c>
      <c r="I15" s="1336"/>
      <c r="J15" s="1332">
        <v>812</v>
      </c>
      <c r="K15" s="1333">
        <v>1</v>
      </c>
      <c r="L15" s="1329"/>
      <c r="M15" s="1329"/>
    </row>
    <row r="16" spans="1:13" ht="21" x14ac:dyDescent="0.2">
      <c r="A16" s="1946" t="s">
        <v>201</v>
      </c>
      <c r="B16" s="1337">
        <v>27437.9</v>
      </c>
      <c r="C16" s="1334">
        <v>78</v>
      </c>
      <c r="D16" s="1334">
        <v>1179</v>
      </c>
      <c r="E16" s="1334">
        <v>3</v>
      </c>
      <c r="F16" s="1334">
        <v>8353</v>
      </c>
      <c r="G16" s="1334">
        <v>49</v>
      </c>
      <c r="H16" s="1335"/>
      <c r="I16" s="1336"/>
      <c r="J16" s="1332">
        <v>36969.9</v>
      </c>
      <c r="K16" s="1333">
        <v>130</v>
      </c>
      <c r="L16" s="1329"/>
      <c r="M16" s="1329"/>
    </row>
    <row r="17" spans="1:13" ht="21" x14ac:dyDescent="0.2">
      <c r="A17" s="1946" t="s">
        <v>97</v>
      </c>
      <c r="B17" s="1324">
        <v>172</v>
      </c>
      <c r="C17" s="1324">
        <v>1</v>
      </c>
      <c r="D17" s="1324">
        <v>1189</v>
      </c>
      <c r="E17" s="1324">
        <v>3</v>
      </c>
      <c r="F17" s="1324"/>
      <c r="G17" s="1324"/>
      <c r="H17" s="1330"/>
      <c r="I17" s="1331"/>
      <c r="J17" s="1332">
        <v>1361</v>
      </c>
      <c r="K17" s="1333">
        <v>4</v>
      </c>
      <c r="L17" s="1329"/>
      <c r="M17" s="1329"/>
    </row>
    <row r="18" spans="1:13" ht="21" x14ac:dyDescent="0.2">
      <c r="A18" s="1946" t="s">
        <v>101</v>
      </c>
      <c r="B18" s="1324">
        <v>2150</v>
      </c>
      <c r="C18" s="1324">
        <v>5</v>
      </c>
      <c r="D18" s="1324">
        <v>16064</v>
      </c>
      <c r="E18" s="1324">
        <v>25</v>
      </c>
      <c r="F18" s="1324"/>
      <c r="G18" s="1324"/>
      <c r="H18" s="1330"/>
      <c r="I18" s="1331"/>
      <c r="J18" s="1332">
        <v>18214</v>
      </c>
      <c r="K18" s="1333">
        <v>30</v>
      </c>
      <c r="L18" s="1329"/>
      <c r="M18" s="1329"/>
    </row>
    <row r="19" spans="1:13" ht="21" x14ac:dyDescent="0.2">
      <c r="A19" s="1946" t="s">
        <v>104</v>
      </c>
      <c r="B19" s="1324">
        <v>11534</v>
      </c>
      <c r="C19" s="1324">
        <v>17</v>
      </c>
      <c r="D19" s="1324">
        <v>3068</v>
      </c>
      <c r="E19" s="1324">
        <v>4</v>
      </c>
      <c r="F19" s="1324"/>
      <c r="G19" s="1324"/>
      <c r="H19" s="1335">
        <v>629</v>
      </c>
      <c r="I19" s="1336">
        <v>3</v>
      </c>
      <c r="J19" s="1332">
        <v>15231</v>
      </c>
      <c r="K19" s="1333">
        <v>24</v>
      </c>
      <c r="L19" s="1329"/>
      <c r="M19" s="1329"/>
    </row>
    <row r="20" spans="1:13" ht="21" x14ac:dyDescent="0.2">
      <c r="A20" s="1946" t="s">
        <v>107</v>
      </c>
      <c r="B20" s="1324">
        <v>0</v>
      </c>
      <c r="C20" s="1324">
        <v>0</v>
      </c>
      <c r="D20" s="1324">
        <v>0</v>
      </c>
      <c r="E20" s="1324">
        <v>0</v>
      </c>
      <c r="F20" s="1324">
        <v>0</v>
      </c>
      <c r="G20" s="1324">
        <v>0</v>
      </c>
      <c r="H20" s="1330">
        <v>0</v>
      </c>
      <c r="I20" s="1331">
        <v>0</v>
      </c>
      <c r="J20" s="1332">
        <v>0</v>
      </c>
      <c r="K20" s="1333">
        <v>0</v>
      </c>
      <c r="L20" s="1329"/>
      <c r="M20" s="1329"/>
    </row>
    <row r="21" spans="1:13" ht="21" x14ac:dyDescent="0.2">
      <c r="A21" s="1946" t="s">
        <v>106</v>
      </c>
      <c r="B21" s="1324">
        <v>5589</v>
      </c>
      <c r="C21" s="1324">
        <v>17</v>
      </c>
      <c r="D21" s="1324"/>
      <c r="E21" s="1324"/>
      <c r="F21" s="1324">
        <v>238</v>
      </c>
      <c r="G21" s="1324">
        <v>3</v>
      </c>
      <c r="H21" s="1330"/>
      <c r="I21" s="1331"/>
      <c r="J21" s="1332">
        <v>5827</v>
      </c>
      <c r="K21" s="1333">
        <v>20</v>
      </c>
      <c r="L21" s="1329"/>
      <c r="M21" s="1329"/>
    </row>
    <row r="22" spans="1:13" ht="21" x14ac:dyDescent="0.2">
      <c r="A22" s="1946" t="s">
        <v>96</v>
      </c>
      <c r="B22" s="1338">
        <v>6170</v>
      </c>
      <c r="C22" s="1338">
        <v>5</v>
      </c>
      <c r="D22" s="1338">
        <v>0</v>
      </c>
      <c r="E22" s="1338">
        <v>0</v>
      </c>
      <c r="F22" s="1338">
        <v>4074</v>
      </c>
      <c r="G22" s="1338">
        <v>22</v>
      </c>
      <c r="H22" s="1330">
        <v>0</v>
      </c>
      <c r="I22" s="1331"/>
      <c r="J22" s="1332">
        <v>10244</v>
      </c>
      <c r="K22" s="1333">
        <v>27</v>
      </c>
      <c r="L22" s="1329"/>
      <c r="M22" s="1329"/>
    </row>
    <row r="23" spans="1:13" ht="21" x14ac:dyDescent="0.2">
      <c r="A23" s="1947" t="s">
        <v>113</v>
      </c>
      <c r="B23" s="1338">
        <v>11247</v>
      </c>
      <c r="C23" s="1338">
        <v>20</v>
      </c>
      <c r="D23" s="1338">
        <v>14338</v>
      </c>
      <c r="E23" s="1338">
        <v>31</v>
      </c>
      <c r="F23" s="1338">
        <v>785</v>
      </c>
      <c r="G23" s="1338">
        <v>6</v>
      </c>
      <c r="H23" s="1339"/>
      <c r="I23" s="1340"/>
      <c r="J23" s="1332">
        <v>26370</v>
      </c>
      <c r="K23" s="1333">
        <v>57</v>
      </c>
      <c r="L23" s="1329"/>
      <c r="M23" s="1329"/>
    </row>
    <row r="24" spans="1:13" ht="21" x14ac:dyDescent="0.2">
      <c r="A24" s="1948" t="s">
        <v>109</v>
      </c>
      <c r="B24" s="1338">
        <v>0</v>
      </c>
      <c r="C24" s="1338">
        <v>0</v>
      </c>
      <c r="D24" s="1338">
        <v>0</v>
      </c>
      <c r="E24" s="1338">
        <v>0</v>
      </c>
      <c r="F24" s="1338">
        <v>0</v>
      </c>
      <c r="G24" s="1338">
        <v>0</v>
      </c>
      <c r="H24" s="1341">
        <v>0</v>
      </c>
      <c r="I24" s="1342">
        <v>0</v>
      </c>
      <c r="J24" s="1332">
        <v>0</v>
      </c>
      <c r="K24" s="1333">
        <v>0</v>
      </c>
      <c r="L24" s="1329"/>
      <c r="M24" s="1329"/>
    </row>
    <row r="25" spans="1:13" ht="21.75" thickBot="1" x14ac:dyDescent="0.25">
      <c r="A25" s="1948" t="s">
        <v>1256</v>
      </c>
      <c r="B25" s="1338">
        <v>0</v>
      </c>
      <c r="C25" s="1338">
        <v>0</v>
      </c>
      <c r="D25" s="1338">
        <v>0</v>
      </c>
      <c r="E25" s="1338">
        <v>0</v>
      </c>
      <c r="F25" s="1338">
        <v>0</v>
      </c>
      <c r="G25" s="1338">
        <v>0</v>
      </c>
      <c r="H25" s="1341">
        <v>0</v>
      </c>
      <c r="I25" s="1342">
        <v>0</v>
      </c>
      <c r="J25" s="1332">
        <v>0</v>
      </c>
      <c r="K25" s="1333">
        <v>0</v>
      </c>
      <c r="L25" s="1329"/>
      <c r="M25" s="1329"/>
    </row>
    <row r="26" spans="1:13" ht="23.25" thickTop="1" thickBot="1" x14ac:dyDescent="0.25">
      <c r="A26" s="1936" t="s">
        <v>33</v>
      </c>
      <c r="B26" s="1937">
        <f t="shared" ref="B26:I26" si="0">SUM(B5:B24)</f>
        <v>157826.43</v>
      </c>
      <c r="C26" s="1938">
        <f t="shared" si="0"/>
        <v>372</v>
      </c>
      <c r="D26" s="1939">
        <f t="shared" si="0"/>
        <v>45050</v>
      </c>
      <c r="E26" s="1940">
        <f t="shared" si="0"/>
        <v>69</v>
      </c>
      <c r="F26" s="1941">
        <f t="shared" si="0"/>
        <v>16523.400000000001</v>
      </c>
      <c r="G26" s="1938">
        <f t="shared" si="0"/>
        <v>132</v>
      </c>
      <c r="H26" s="1938">
        <f t="shared" si="0"/>
        <v>629</v>
      </c>
      <c r="I26" s="1940">
        <f t="shared" si="0"/>
        <v>3</v>
      </c>
      <c r="J26" s="1942">
        <f>SUM(J5:J25)</f>
        <v>220028.83</v>
      </c>
      <c r="K26" s="1943">
        <f>SUM(K5:K25)</f>
        <v>576</v>
      </c>
      <c r="L26" s="1329"/>
      <c r="M26" s="1329"/>
    </row>
    <row r="27" spans="1:13" ht="15.75" thickTop="1" x14ac:dyDescent="0.35">
      <c r="A27" s="1343" t="s">
        <v>1492</v>
      </c>
      <c r="B27" s="1343"/>
    </row>
    <row r="29" spans="1:13" x14ac:dyDescent="0.2">
      <c r="E29" s="1329"/>
    </row>
  </sheetData>
  <mergeCells count="9">
    <mergeCell ref="A1:K1"/>
    <mergeCell ref="A2:A4"/>
    <mergeCell ref="B2:E2"/>
    <mergeCell ref="F2:I2"/>
    <mergeCell ref="J2:K3"/>
    <mergeCell ref="B3:C3"/>
    <mergeCell ref="D3:E3"/>
    <mergeCell ref="F3:G3"/>
    <mergeCell ref="H3:I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</sheetPr>
  <dimension ref="A2:AE35"/>
  <sheetViews>
    <sheetView showGridLines="0" rightToLeft="1" zoomScale="85" zoomScaleNormal="85" workbookViewId="0">
      <selection activeCell="Y8" sqref="Y8"/>
    </sheetView>
  </sheetViews>
  <sheetFormatPr defaultRowHeight="14.25" x14ac:dyDescent="0.2"/>
  <cols>
    <col min="1" max="1" width="5" style="686" customWidth="1"/>
    <col min="2" max="2" width="11" style="686" customWidth="1"/>
    <col min="3" max="3" width="17" style="686" customWidth="1"/>
    <col min="4" max="5" width="4.125" style="686" customWidth="1"/>
    <col min="6" max="7" width="4" style="686" customWidth="1"/>
    <col min="8" max="8" width="4.875" style="686" customWidth="1"/>
    <col min="9" max="9" width="4.125" style="686" customWidth="1"/>
    <col min="10" max="10" width="5.125" style="686" customWidth="1"/>
    <col min="11" max="11" width="4" style="686" customWidth="1"/>
    <col min="12" max="12" width="3.75" style="686" customWidth="1"/>
    <col min="13" max="13" width="4.125" style="686" customWidth="1"/>
    <col min="14" max="14" width="4" style="686" customWidth="1"/>
    <col min="15" max="15" width="3.875" style="686" customWidth="1"/>
    <col min="16" max="16" width="4.125" style="686" customWidth="1"/>
    <col min="17" max="17" width="4" style="686" customWidth="1"/>
    <col min="18" max="18" width="3.75" style="686" customWidth="1"/>
    <col min="19" max="19" width="14.125" style="686" customWidth="1"/>
    <col min="20" max="20" width="6.125" style="686" customWidth="1"/>
    <col min="21" max="22" width="9.125" style="686" customWidth="1"/>
    <col min="23" max="16384" width="9" style="686"/>
  </cols>
  <sheetData>
    <row r="2" spans="1:31" ht="56.25" customHeight="1" thickBot="1" x14ac:dyDescent="0.25">
      <c r="A2" s="3086" t="s">
        <v>1913</v>
      </c>
      <c r="B2" s="3086"/>
      <c r="C2" s="3086"/>
      <c r="D2" s="3086"/>
      <c r="E2" s="3086"/>
      <c r="F2" s="3086"/>
      <c r="G2" s="3086"/>
      <c r="H2" s="3086"/>
      <c r="I2" s="3086"/>
      <c r="J2" s="3086"/>
      <c r="K2" s="3086"/>
      <c r="L2" s="3086"/>
      <c r="M2" s="3086"/>
      <c r="N2" s="3086"/>
      <c r="O2" s="3086"/>
      <c r="P2" s="3086"/>
      <c r="Q2" s="3086"/>
      <c r="R2" s="3086"/>
      <c r="S2" s="3086"/>
      <c r="T2" s="3086"/>
      <c r="U2" s="3086"/>
      <c r="V2" s="3086"/>
      <c r="W2" s="3086"/>
      <c r="X2" s="3086"/>
      <c r="Y2" s="3086"/>
      <c r="Z2" s="3086"/>
      <c r="AA2" s="3086"/>
      <c r="AB2" s="3086"/>
      <c r="AC2" s="3086"/>
      <c r="AD2" s="3086"/>
      <c r="AE2" s="3086"/>
    </row>
    <row r="3" spans="1:31" ht="20.25" customHeight="1" x14ac:dyDescent="0.2">
      <c r="A3" s="3087" t="s">
        <v>190</v>
      </c>
      <c r="B3" s="3090" t="s">
        <v>1759</v>
      </c>
      <c r="C3" s="3093" t="s">
        <v>1760</v>
      </c>
      <c r="D3" s="3094"/>
      <c r="E3" s="3094"/>
      <c r="F3" s="3095"/>
      <c r="G3" s="3093" t="s">
        <v>1761</v>
      </c>
      <c r="H3" s="3094"/>
      <c r="I3" s="3094"/>
      <c r="J3" s="3094"/>
      <c r="K3" s="3094"/>
      <c r="L3" s="3095"/>
      <c r="M3" s="3093" t="s">
        <v>1762</v>
      </c>
      <c r="N3" s="3094"/>
      <c r="O3" s="3094"/>
      <c r="P3" s="3094"/>
      <c r="Q3" s="3094"/>
      <c r="R3" s="3095"/>
      <c r="S3" s="3099" t="s">
        <v>1763</v>
      </c>
      <c r="T3" s="3069" t="s">
        <v>1764</v>
      </c>
      <c r="U3" s="3069" t="s">
        <v>1765</v>
      </c>
      <c r="V3" s="3069" t="s">
        <v>1766</v>
      </c>
      <c r="W3" s="3069" t="s">
        <v>1767</v>
      </c>
      <c r="X3" s="3081" t="s">
        <v>1768</v>
      </c>
      <c r="Y3" s="3069" t="s">
        <v>1769</v>
      </c>
      <c r="Z3" s="3078" t="s">
        <v>1770</v>
      </c>
      <c r="AA3" s="3078" t="s">
        <v>1771</v>
      </c>
      <c r="AB3" s="3069" t="s">
        <v>1772</v>
      </c>
      <c r="AC3" s="3069" t="s">
        <v>1773</v>
      </c>
      <c r="AD3" s="3102" t="s">
        <v>1774</v>
      </c>
      <c r="AE3" s="3105" t="s">
        <v>1775</v>
      </c>
    </row>
    <row r="4" spans="1:31" ht="23.25" customHeight="1" x14ac:dyDescent="0.2">
      <c r="A4" s="3088"/>
      <c r="B4" s="3091"/>
      <c r="C4" s="3096"/>
      <c r="D4" s="3097"/>
      <c r="E4" s="3097"/>
      <c r="F4" s="3098"/>
      <c r="G4" s="3096" t="s">
        <v>1776</v>
      </c>
      <c r="H4" s="3097"/>
      <c r="I4" s="3097"/>
      <c r="J4" s="3097" t="s">
        <v>1777</v>
      </c>
      <c r="K4" s="3097"/>
      <c r="L4" s="3098"/>
      <c r="M4" s="3096" t="s">
        <v>1776</v>
      </c>
      <c r="N4" s="3097"/>
      <c r="O4" s="3097"/>
      <c r="P4" s="3097" t="s">
        <v>1777</v>
      </c>
      <c r="Q4" s="3097"/>
      <c r="R4" s="3098"/>
      <c r="S4" s="3100"/>
      <c r="T4" s="3070"/>
      <c r="U4" s="3070"/>
      <c r="V4" s="3070"/>
      <c r="W4" s="3070"/>
      <c r="X4" s="3082"/>
      <c r="Y4" s="3070"/>
      <c r="Z4" s="3079"/>
      <c r="AA4" s="3079"/>
      <c r="AB4" s="3070"/>
      <c r="AC4" s="3070"/>
      <c r="AD4" s="3103"/>
      <c r="AE4" s="3106"/>
    </row>
    <row r="5" spans="1:31" ht="15.75" customHeight="1" x14ac:dyDescent="0.2">
      <c r="A5" s="3088"/>
      <c r="B5" s="3091"/>
      <c r="C5" s="3076" t="s">
        <v>1778</v>
      </c>
      <c r="D5" s="3072" t="s">
        <v>1779</v>
      </c>
      <c r="E5" s="3072" t="s">
        <v>1780</v>
      </c>
      <c r="F5" s="3074" t="s">
        <v>1781</v>
      </c>
      <c r="G5" s="3076" t="s">
        <v>1782</v>
      </c>
      <c r="H5" s="3072" t="s">
        <v>1783</v>
      </c>
      <c r="I5" s="3072" t="s">
        <v>1784</v>
      </c>
      <c r="J5" s="3072" t="s">
        <v>1782</v>
      </c>
      <c r="K5" s="3072" t="s">
        <v>1783</v>
      </c>
      <c r="L5" s="3074" t="s">
        <v>1784</v>
      </c>
      <c r="M5" s="3076" t="s">
        <v>1782</v>
      </c>
      <c r="N5" s="3072" t="s">
        <v>1783</v>
      </c>
      <c r="O5" s="3072" t="s">
        <v>1784</v>
      </c>
      <c r="P5" s="3072" t="s">
        <v>1782</v>
      </c>
      <c r="Q5" s="3072" t="s">
        <v>1783</v>
      </c>
      <c r="R5" s="3074" t="s">
        <v>1784</v>
      </c>
      <c r="S5" s="3100"/>
      <c r="T5" s="3070"/>
      <c r="U5" s="3070"/>
      <c r="V5" s="3070"/>
      <c r="W5" s="3070"/>
      <c r="X5" s="3082"/>
      <c r="Y5" s="3070"/>
      <c r="Z5" s="3079"/>
      <c r="AA5" s="3079"/>
      <c r="AB5" s="3070"/>
      <c r="AC5" s="3070"/>
      <c r="AD5" s="3103"/>
      <c r="AE5" s="3106"/>
    </row>
    <row r="6" spans="1:31" ht="44.25" customHeight="1" thickBot="1" x14ac:dyDescent="0.25">
      <c r="A6" s="3089"/>
      <c r="B6" s="3092"/>
      <c r="C6" s="3077"/>
      <c r="D6" s="3073"/>
      <c r="E6" s="3073"/>
      <c r="F6" s="3075"/>
      <c r="G6" s="3077"/>
      <c r="H6" s="3073"/>
      <c r="I6" s="3073"/>
      <c r="J6" s="3073"/>
      <c r="K6" s="3073"/>
      <c r="L6" s="3075"/>
      <c r="M6" s="3077"/>
      <c r="N6" s="3073"/>
      <c r="O6" s="3073"/>
      <c r="P6" s="3073"/>
      <c r="Q6" s="3073"/>
      <c r="R6" s="3075"/>
      <c r="S6" s="3101"/>
      <c r="T6" s="3071"/>
      <c r="U6" s="3071"/>
      <c r="V6" s="3071"/>
      <c r="W6" s="3071"/>
      <c r="X6" s="3083"/>
      <c r="Y6" s="3071"/>
      <c r="Z6" s="3080"/>
      <c r="AA6" s="3080"/>
      <c r="AB6" s="3071"/>
      <c r="AC6" s="3071"/>
      <c r="AD6" s="3104"/>
      <c r="AE6" s="3107"/>
    </row>
    <row r="7" spans="1:31" ht="21.75" customHeight="1" x14ac:dyDescent="0.2">
      <c r="A7" s="1949">
        <v>1</v>
      </c>
      <c r="B7" s="1950" t="s">
        <v>201</v>
      </c>
      <c r="C7" s="1344">
        <v>21</v>
      </c>
      <c r="D7" s="1345">
        <v>5</v>
      </c>
      <c r="E7" s="1345" t="s">
        <v>25</v>
      </c>
      <c r="F7" s="1346" t="s">
        <v>25</v>
      </c>
      <c r="G7" s="1347">
        <v>5</v>
      </c>
      <c r="H7" s="1348">
        <v>1</v>
      </c>
      <c r="I7" s="1348" t="s">
        <v>25</v>
      </c>
      <c r="J7" s="1348">
        <v>7</v>
      </c>
      <c r="K7" s="1348" t="s">
        <v>25</v>
      </c>
      <c r="L7" s="1349" t="s">
        <v>25</v>
      </c>
      <c r="M7" s="1347">
        <v>3</v>
      </c>
      <c r="N7" s="1348" t="s">
        <v>25</v>
      </c>
      <c r="O7" s="1348" t="s">
        <v>25</v>
      </c>
      <c r="P7" s="1348">
        <v>1</v>
      </c>
      <c r="Q7" s="1348" t="s">
        <v>25</v>
      </c>
      <c r="R7" s="1349" t="s">
        <v>25</v>
      </c>
      <c r="S7" s="1347" t="s">
        <v>25</v>
      </c>
      <c r="T7" s="1348">
        <v>8</v>
      </c>
      <c r="U7" s="1348" t="s">
        <v>25</v>
      </c>
      <c r="V7" s="1348" t="s">
        <v>25</v>
      </c>
      <c r="W7" s="1348">
        <v>1</v>
      </c>
      <c r="X7" s="1348" t="s">
        <v>25</v>
      </c>
      <c r="Y7" s="1348" t="s">
        <v>25</v>
      </c>
      <c r="Z7" s="1348" t="s">
        <v>25</v>
      </c>
      <c r="AA7" s="1348" t="s">
        <v>25</v>
      </c>
      <c r="AB7" s="1348" t="s">
        <v>25</v>
      </c>
      <c r="AC7" s="1348" t="s">
        <v>25</v>
      </c>
      <c r="AD7" s="1350" t="s">
        <v>25</v>
      </c>
      <c r="AE7" s="1351">
        <f t="shared" ref="AE7:AE27" si="0">SUM(G7:AD7)</f>
        <v>26</v>
      </c>
    </row>
    <row r="8" spans="1:31" ht="39.75" customHeight="1" x14ac:dyDescent="0.2">
      <c r="A8" s="1951">
        <f>A7+1</f>
        <v>2</v>
      </c>
      <c r="B8" s="1952" t="s">
        <v>198</v>
      </c>
      <c r="C8" s="1352">
        <v>6</v>
      </c>
      <c r="D8" s="1353">
        <v>6</v>
      </c>
      <c r="E8" s="1353" t="s">
        <v>25</v>
      </c>
      <c r="F8" s="1354" t="s">
        <v>25</v>
      </c>
      <c r="G8" s="1355">
        <v>1</v>
      </c>
      <c r="H8" s="1356" t="s">
        <v>25</v>
      </c>
      <c r="I8" s="1356" t="s">
        <v>25</v>
      </c>
      <c r="J8" s="1356" t="s">
        <v>25</v>
      </c>
      <c r="K8" s="1356" t="s">
        <v>25</v>
      </c>
      <c r="L8" s="1357" t="s">
        <v>25</v>
      </c>
      <c r="M8" s="1355">
        <v>2</v>
      </c>
      <c r="N8" s="1356">
        <v>2</v>
      </c>
      <c r="O8" s="1356" t="s">
        <v>25</v>
      </c>
      <c r="P8" s="1356" t="s">
        <v>25</v>
      </c>
      <c r="Q8" s="1356" t="s">
        <v>25</v>
      </c>
      <c r="R8" s="1357" t="s">
        <v>25</v>
      </c>
      <c r="S8" s="1355">
        <v>1</v>
      </c>
      <c r="T8" s="1358" t="s">
        <v>25</v>
      </c>
      <c r="U8" s="1356" t="s">
        <v>25</v>
      </c>
      <c r="V8" s="1356" t="s">
        <v>25</v>
      </c>
      <c r="W8" s="1356" t="s">
        <v>25</v>
      </c>
      <c r="X8" s="1356" t="s">
        <v>25</v>
      </c>
      <c r="Y8" s="1356" t="s">
        <v>25</v>
      </c>
      <c r="Z8" s="1356" t="s">
        <v>25</v>
      </c>
      <c r="AA8" s="1356">
        <v>6</v>
      </c>
      <c r="AB8" s="1356" t="s">
        <v>25</v>
      </c>
      <c r="AC8" s="1356" t="s">
        <v>25</v>
      </c>
      <c r="AD8" s="1357" t="s">
        <v>25</v>
      </c>
      <c r="AE8" s="1359">
        <f t="shared" si="0"/>
        <v>12</v>
      </c>
    </row>
    <row r="9" spans="1:31" ht="37.5" customHeight="1" x14ac:dyDescent="0.2">
      <c r="A9" s="1951">
        <f t="shared" ref="A9:A27" si="1">A8+1</f>
        <v>3</v>
      </c>
      <c r="B9" s="1952" t="s">
        <v>97</v>
      </c>
      <c r="C9" s="1352">
        <v>8</v>
      </c>
      <c r="D9" s="1353">
        <v>4</v>
      </c>
      <c r="E9" s="1353" t="s">
        <v>25</v>
      </c>
      <c r="F9" s="1354" t="s">
        <v>25</v>
      </c>
      <c r="G9" s="1355">
        <v>6</v>
      </c>
      <c r="H9" s="1356">
        <v>2</v>
      </c>
      <c r="I9" s="1356" t="s">
        <v>25</v>
      </c>
      <c r="J9" s="1356" t="s">
        <v>25</v>
      </c>
      <c r="K9" s="1356" t="s">
        <v>25</v>
      </c>
      <c r="L9" s="1357" t="s">
        <v>25</v>
      </c>
      <c r="M9" s="1355">
        <v>2</v>
      </c>
      <c r="N9" s="1356">
        <v>2</v>
      </c>
      <c r="O9" s="1356" t="s">
        <v>25</v>
      </c>
      <c r="P9" s="1356" t="s">
        <v>25</v>
      </c>
      <c r="Q9" s="1356" t="s">
        <v>25</v>
      </c>
      <c r="R9" s="1357" t="s">
        <v>25</v>
      </c>
      <c r="S9" s="1355" t="s">
        <v>25</v>
      </c>
      <c r="T9" s="1356" t="s">
        <v>25</v>
      </c>
      <c r="U9" s="1356" t="s">
        <v>25</v>
      </c>
      <c r="V9" s="1356" t="s">
        <v>25</v>
      </c>
      <c r="W9" s="1356" t="s">
        <v>25</v>
      </c>
      <c r="X9" s="1356" t="s">
        <v>25</v>
      </c>
      <c r="Y9" s="1356" t="s">
        <v>25</v>
      </c>
      <c r="Z9" s="1356" t="s">
        <v>25</v>
      </c>
      <c r="AA9" s="1356" t="s">
        <v>25</v>
      </c>
      <c r="AB9" s="1356" t="s">
        <v>25</v>
      </c>
      <c r="AC9" s="1356" t="s">
        <v>25</v>
      </c>
      <c r="AD9" s="1357" t="s">
        <v>25</v>
      </c>
      <c r="AE9" s="1359">
        <f t="shared" si="0"/>
        <v>12</v>
      </c>
    </row>
    <row r="10" spans="1:31" ht="23.25" customHeight="1" x14ac:dyDescent="0.2">
      <c r="A10" s="1951">
        <f t="shared" si="1"/>
        <v>4</v>
      </c>
      <c r="B10" s="1952" t="s">
        <v>102</v>
      </c>
      <c r="C10" s="1352">
        <v>14</v>
      </c>
      <c r="D10" s="1353">
        <v>2</v>
      </c>
      <c r="E10" s="1353" t="s">
        <v>25</v>
      </c>
      <c r="F10" s="1354" t="s">
        <v>25</v>
      </c>
      <c r="G10" s="1355">
        <v>2</v>
      </c>
      <c r="H10" s="1356" t="s">
        <v>25</v>
      </c>
      <c r="I10" s="1356" t="s">
        <v>25</v>
      </c>
      <c r="J10" s="1356">
        <v>4</v>
      </c>
      <c r="K10" s="1356">
        <v>2</v>
      </c>
      <c r="L10" s="1357" t="s">
        <v>25</v>
      </c>
      <c r="M10" s="1355">
        <v>4</v>
      </c>
      <c r="N10" s="1356">
        <v>2</v>
      </c>
      <c r="O10" s="1356" t="s">
        <v>25</v>
      </c>
      <c r="P10" s="1356" t="s">
        <v>25</v>
      </c>
      <c r="Q10" s="1356">
        <v>2</v>
      </c>
      <c r="R10" s="1357" t="s">
        <v>25</v>
      </c>
      <c r="S10" s="1355" t="s">
        <v>25</v>
      </c>
      <c r="T10" s="1356" t="s">
        <v>25</v>
      </c>
      <c r="U10" s="1356" t="s">
        <v>25</v>
      </c>
      <c r="V10" s="1356" t="s">
        <v>25</v>
      </c>
      <c r="W10" s="1356" t="s">
        <v>25</v>
      </c>
      <c r="X10" s="1356" t="s">
        <v>25</v>
      </c>
      <c r="Y10" s="1356" t="s">
        <v>25</v>
      </c>
      <c r="Z10" s="1356" t="s">
        <v>25</v>
      </c>
      <c r="AA10" s="1356" t="s">
        <v>25</v>
      </c>
      <c r="AB10" s="1356" t="s">
        <v>25</v>
      </c>
      <c r="AC10" s="1356" t="s">
        <v>25</v>
      </c>
      <c r="AD10" s="1357" t="s">
        <v>25</v>
      </c>
      <c r="AE10" s="1359">
        <f t="shared" si="0"/>
        <v>16</v>
      </c>
    </row>
    <row r="11" spans="1:31" ht="21" customHeight="1" x14ac:dyDescent="0.2">
      <c r="A11" s="1951">
        <f t="shared" si="1"/>
        <v>5</v>
      </c>
      <c r="B11" s="1952" t="s">
        <v>107</v>
      </c>
      <c r="C11" s="1352">
        <v>5</v>
      </c>
      <c r="D11" s="1353">
        <v>9</v>
      </c>
      <c r="E11" s="1353" t="s">
        <v>25</v>
      </c>
      <c r="F11" s="1354" t="s">
        <v>25</v>
      </c>
      <c r="G11" s="1355" t="s">
        <v>25</v>
      </c>
      <c r="H11" s="1356" t="s">
        <v>25</v>
      </c>
      <c r="I11" s="1356" t="s">
        <v>25</v>
      </c>
      <c r="J11" s="1356" t="s">
        <v>25</v>
      </c>
      <c r="K11" s="1356" t="s">
        <v>25</v>
      </c>
      <c r="L11" s="1357" t="s">
        <v>25</v>
      </c>
      <c r="M11" s="1355">
        <v>2</v>
      </c>
      <c r="N11" s="1356">
        <v>1</v>
      </c>
      <c r="O11" s="1356" t="s">
        <v>25</v>
      </c>
      <c r="P11" s="1356" t="s">
        <v>25</v>
      </c>
      <c r="Q11" s="1356" t="s">
        <v>25</v>
      </c>
      <c r="R11" s="1357" t="s">
        <v>25</v>
      </c>
      <c r="S11" s="1355" t="s">
        <v>25</v>
      </c>
      <c r="T11" s="1356" t="s">
        <v>25</v>
      </c>
      <c r="U11" s="1356" t="s">
        <v>25</v>
      </c>
      <c r="V11" s="1356">
        <v>10</v>
      </c>
      <c r="W11" s="1356" t="s">
        <v>25</v>
      </c>
      <c r="X11" s="1356">
        <v>1</v>
      </c>
      <c r="Y11" s="1356" t="s">
        <v>25</v>
      </c>
      <c r="Z11" s="1356" t="s">
        <v>25</v>
      </c>
      <c r="AA11" s="1356" t="s">
        <v>25</v>
      </c>
      <c r="AB11" s="1356" t="s">
        <v>25</v>
      </c>
      <c r="AC11" s="1356" t="s">
        <v>25</v>
      </c>
      <c r="AD11" s="1357" t="s">
        <v>25</v>
      </c>
      <c r="AE11" s="1359">
        <f t="shared" si="0"/>
        <v>14</v>
      </c>
    </row>
    <row r="12" spans="1:31" ht="20.25" customHeight="1" x14ac:dyDescent="0.2">
      <c r="A12" s="1951">
        <f t="shared" si="1"/>
        <v>6</v>
      </c>
      <c r="B12" s="1952" t="s">
        <v>106</v>
      </c>
      <c r="C12" s="1352">
        <v>7</v>
      </c>
      <c r="D12" s="1353">
        <v>6</v>
      </c>
      <c r="E12" s="1353" t="s">
        <v>25</v>
      </c>
      <c r="F12" s="1354" t="s">
        <v>25</v>
      </c>
      <c r="G12" s="1355">
        <v>3</v>
      </c>
      <c r="H12" s="1356">
        <v>1</v>
      </c>
      <c r="I12" s="1356" t="s">
        <v>25</v>
      </c>
      <c r="J12" s="1356" t="s">
        <v>25</v>
      </c>
      <c r="K12" s="1356" t="s">
        <v>25</v>
      </c>
      <c r="L12" s="1357" t="s">
        <v>25</v>
      </c>
      <c r="M12" s="1355">
        <v>5</v>
      </c>
      <c r="N12" s="1356">
        <v>4</v>
      </c>
      <c r="O12" s="1356" t="s">
        <v>25</v>
      </c>
      <c r="P12" s="1356" t="s">
        <v>25</v>
      </c>
      <c r="Q12" s="1356" t="s">
        <v>25</v>
      </c>
      <c r="R12" s="1357" t="s">
        <v>25</v>
      </c>
      <c r="S12" s="1355" t="s">
        <v>25</v>
      </c>
      <c r="T12" s="1356" t="s">
        <v>25</v>
      </c>
      <c r="U12" s="1356" t="s">
        <v>25</v>
      </c>
      <c r="V12" s="1356" t="s">
        <v>25</v>
      </c>
      <c r="W12" s="1356" t="s">
        <v>25</v>
      </c>
      <c r="X12" s="1356" t="s">
        <v>25</v>
      </c>
      <c r="Y12" s="1356" t="s">
        <v>25</v>
      </c>
      <c r="Z12" s="1356" t="s">
        <v>25</v>
      </c>
      <c r="AA12" s="1356" t="s">
        <v>25</v>
      </c>
      <c r="AB12" s="1356" t="s">
        <v>25</v>
      </c>
      <c r="AC12" s="1356" t="s">
        <v>25</v>
      </c>
      <c r="AD12" s="1357" t="s">
        <v>25</v>
      </c>
      <c r="AE12" s="1359">
        <f t="shared" si="0"/>
        <v>13</v>
      </c>
    </row>
    <row r="13" spans="1:31" ht="22.5" customHeight="1" x14ac:dyDescent="0.2">
      <c r="A13" s="1951">
        <f t="shared" si="1"/>
        <v>7</v>
      </c>
      <c r="B13" s="1952" t="s">
        <v>99</v>
      </c>
      <c r="C13" s="1352">
        <v>10</v>
      </c>
      <c r="D13" s="1353">
        <v>3</v>
      </c>
      <c r="E13" s="1353" t="s">
        <v>25</v>
      </c>
      <c r="F13" s="1354" t="s">
        <v>25</v>
      </c>
      <c r="G13" s="1355">
        <v>7</v>
      </c>
      <c r="H13" s="1356">
        <v>2</v>
      </c>
      <c r="I13" s="1356" t="s">
        <v>25</v>
      </c>
      <c r="J13" s="1356" t="s">
        <v>25</v>
      </c>
      <c r="K13" s="1356" t="s">
        <v>25</v>
      </c>
      <c r="L13" s="1357" t="s">
        <v>25</v>
      </c>
      <c r="M13" s="1355">
        <v>4</v>
      </c>
      <c r="N13" s="1356" t="s">
        <v>25</v>
      </c>
      <c r="O13" s="1356" t="s">
        <v>25</v>
      </c>
      <c r="P13" s="1356" t="s">
        <v>25</v>
      </c>
      <c r="Q13" s="1356" t="s">
        <v>25</v>
      </c>
      <c r="R13" s="1357" t="s">
        <v>25</v>
      </c>
      <c r="S13" s="1355" t="s">
        <v>25</v>
      </c>
      <c r="T13" s="1356" t="s">
        <v>25</v>
      </c>
      <c r="U13" s="1356" t="s">
        <v>25</v>
      </c>
      <c r="V13" s="1356" t="s">
        <v>25</v>
      </c>
      <c r="W13" s="1356" t="s">
        <v>25</v>
      </c>
      <c r="X13" s="1356" t="s">
        <v>25</v>
      </c>
      <c r="Y13" s="1356" t="s">
        <v>425</v>
      </c>
      <c r="Z13" s="1356" t="s">
        <v>25</v>
      </c>
      <c r="AA13" s="1356" t="s">
        <v>25</v>
      </c>
      <c r="AB13" s="1356" t="s">
        <v>25</v>
      </c>
      <c r="AC13" s="1356" t="s">
        <v>25</v>
      </c>
      <c r="AD13" s="1357" t="s">
        <v>25</v>
      </c>
      <c r="AE13" s="1359">
        <f t="shared" si="0"/>
        <v>13</v>
      </c>
    </row>
    <row r="14" spans="1:31" ht="21" customHeight="1" x14ac:dyDescent="0.2">
      <c r="A14" s="1951">
        <f t="shared" si="1"/>
        <v>8</v>
      </c>
      <c r="B14" s="1952" t="s">
        <v>111</v>
      </c>
      <c r="C14" s="1352">
        <v>8</v>
      </c>
      <c r="D14" s="1353">
        <v>8</v>
      </c>
      <c r="E14" s="1353" t="s">
        <v>25</v>
      </c>
      <c r="F14" s="1360">
        <v>1</v>
      </c>
      <c r="G14" s="1355">
        <v>5</v>
      </c>
      <c r="H14" s="1356">
        <v>4</v>
      </c>
      <c r="I14" s="1356" t="s">
        <v>25</v>
      </c>
      <c r="J14" s="1356" t="s">
        <v>25</v>
      </c>
      <c r="K14" s="1356" t="s">
        <v>25</v>
      </c>
      <c r="L14" s="1357" t="s">
        <v>25</v>
      </c>
      <c r="M14" s="1355">
        <v>6</v>
      </c>
      <c r="N14" s="1356">
        <v>1</v>
      </c>
      <c r="O14" s="1356" t="s">
        <v>25</v>
      </c>
      <c r="P14" s="1356" t="s">
        <v>25</v>
      </c>
      <c r="Q14" s="1356" t="s">
        <v>25</v>
      </c>
      <c r="R14" s="1357" t="s">
        <v>25</v>
      </c>
      <c r="S14" s="1355" t="s">
        <v>25</v>
      </c>
      <c r="T14" s="1356" t="s">
        <v>25</v>
      </c>
      <c r="U14" s="1356" t="s">
        <v>25</v>
      </c>
      <c r="V14" s="1356" t="s">
        <v>25</v>
      </c>
      <c r="W14" s="1356" t="s">
        <v>25</v>
      </c>
      <c r="X14" s="1356" t="s">
        <v>25</v>
      </c>
      <c r="Y14" s="1356" t="s">
        <v>25</v>
      </c>
      <c r="Z14" s="1356" t="s">
        <v>25</v>
      </c>
      <c r="AA14" s="1356" t="s">
        <v>25</v>
      </c>
      <c r="AB14" s="1356" t="s">
        <v>25</v>
      </c>
      <c r="AC14" s="1356">
        <v>1</v>
      </c>
      <c r="AD14" s="1357" t="s">
        <v>25</v>
      </c>
      <c r="AE14" s="1359">
        <f t="shared" si="0"/>
        <v>17</v>
      </c>
    </row>
    <row r="15" spans="1:31" ht="20.25" customHeight="1" x14ac:dyDescent="0.2">
      <c r="A15" s="1951">
        <f t="shared" si="1"/>
        <v>9</v>
      </c>
      <c r="B15" s="1952" t="s">
        <v>96</v>
      </c>
      <c r="C15" s="1352">
        <v>7</v>
      </c>
      <c r="D15" s="1353">
        <v>9</v>
      </c>
      <c r="E15" s="1353">
        <v>1</v>
      </c>
      <c r="F15" s="1354" t="s">
        <v>25</v>
      </c>
      <c r="G15" s="1355" t="s">
        <v>25</v>
      </c>
      <c r="H15" s="1356" t="s">
        <v>25</v>
      </c>
      <c r="I15" s="1356" t="s">
        <v>25</v>
      </c>
      <c r="J15" s="1356" t="s">
        <v>25</v>
      </c>
      <c r="K15" s="1356" t="s">
        <v>25</v>
      </c>
      <c r="L15" s="1357" t="s">
        <v>25</v>
      </c>
      <c r="M15" s="1355">
        <v>5</v>
      </c>
      <c r="N15" s="1356" t="s">
        <v>25</v>
      </c>
      <c r="O15" s="1356" t="s">
        <v>25</v>
      </c>
      <c r="P15" s="1356" t="s">
        <v>25</v>
      </c>
      <c r="Q15" s="1356" t="s">
        <v>25</v>
      </c>
      <c r="R15" s="1361" t="s">
        <v>25</v>
      </c>
      <c r="S15" s="1355" t="s">
        <v>25</v>
      </c>
      <c r="T15" s="1356" t="s">
        <v>25</v>
      </c>
      <c r="U15" s="1356" t="s">
        <v>25</v>
      </c>
      <c r="V15" s="1356" t="s">
        <v>25</v>
      </c>
      <c r="W15" s="1356" t="s">
        <v>25</v>
      </c>
      <c r="X15" s="1356">
        <v>12</v>
      </c>
      <c r="Y15" s="1356" t="s">
        <v>25</v>
      </c>
      <c r="Z15" s="1356" t="s">
        <v>25</v>
      </c>
      <c r="AA15" s="1356" t="s">
        <v>25</v>
      </c>
      <c r="AB15" s="1356" t="s">
        <v>25</v>
      </c>
      <c r="AC15" s="1356" t="s">
        <v>25</v>
      </c>
      <c r="AD15" s="1357" t="s">
        <v>25</v>
      </c>
      <c r="AE15" s="1359">
        <f t="shared" si="0"/>
        <v>17</v>
      </c>
    </row>
    <row r="16" spans="1:31" ht="21" customHeight="1" x14ac:dyDescent="0.2">
      <c r="A16" s="1951">
        <f t="shared" si="1"/>
        <v>10</v>
      </c>
      <c r="B16" s="1952" t="s">
        <v>1785</v>
      </c>
      <c r="C16" s="1352">
        <v>13</v>
      </c>
      <c r="D16" s="1353">
        <v>3</v>
      </c>
      <c r="E16" s="1353" t="s">
        <v>25</v>
      </c>
      <c r="F16" s="1354" t="s">
        <v>25</v>
      </c>
      <c r="G16" s="1355">
        <v>4</v>
      </c>
      <c r="H16" s="1356">
        <v>2</v>
      </c>
      <c r="I16" s="1356" t="s">
        <v>25</v>
      </c>
      <c r="J16" s="1356">
        <v>4</v>
      </c>
      <c r="K16" s="1356">
        <v>2</v>
      </c>
      <c r="L16" s="1357" t="s">
        <v>25</v>
      </c>
      <c r="M16" s="1355">
        <v>2</v>
      </c>
      <c r="N16" s="1356">
        <v>2</v>
      </c>
      <c r="O16" s="1356" t="s">
        <v>25</v>
      </c>
      <c r="P16" s="1356" t="s">
        <v>25</v>
      </c>
      <c r="Q16" s="1356" t="s">
        <v>25</v>
      </c>
      <c r="R16" s="1357" t="s">
        <v>25</v>
      </c>
      <c r="S16" s="1355" t="s">
        <v>25</v>
      </c>
      <c r="T16" s="1356" t="s">
        <v>25</v>
      </c>
      <c r="U16" s="1356" t="s">
        <v>25</v>
      </c>
      <c r="V16" s="1356" t="s">
        <v>25</v>
      </c>
      <c r="W16" s="1356" t="s">
        <v>25</v>
      </c>
      <c r="X16" s="1356" t="s">
        <v>25</v>
      </c>
      <c r="Y16" s="1356" t="s">
        <v>25</v>
      </c>
      <c r="Z16" s="1356" t="s">
        <v>25</v>
      </c>
      <c r="AA16" s="1356" t="s">
        <v>25</v>
      </c>
      <c r="AB16" s="1356" t="s">
        <v>25</v>
      </c>
      <c r="AC16" s="1356" t="s">
        <v>25</v>
      </c>
      <c r="AD16" s="1357" t="s">
        <v>25</v>
      </c>
      <c r="AE16" s="1359">
        <f t="shared" si="0"/>
        <v>16</v>
      </c>
    </row>
    <row r="17" spans="1:31" ht="39" customHeight="1" x14ac:dyDescent="0.2">
      <c r="A17" s="1951">
        <f t="shared" si="1"/>
        <v>11</v>
      </c>
      <c r="B17" s="1952" t="s">
        <v>1786</v>
      </c>
      <c r="C17" s="1352">
        <v>3</v>
      </c>
      <c r="D17" s="1353">
        <v>3</v>
      </c>
      <c r="E17" s="1353" t="s">
        <v>25</v>
      </c>
      <c r="F17" s="1354" t="s">
        <v>25</v>
      </c>
      <c r="G17" s="1355" t="s">
        <v>25</v>
      </c>
      <c r="H17" s="1356" t="s">
        <v>25</v>
      </c>
      <c r="I17" s="1356" t="s">
        <v>25</v>
      </c>
      <c r="J17" s="1356" t="s">
        <v>25</v>
      </c>
      <c r="K17" s="1356" t="s">
        <v>25</v>
      </c>
      <c r="L17" s="1357" t="s">
        <v>25</v>
      </c>
      <c r="M17" s="1355">
        <v>1</v>
      </c>
      <c r="N17" s="1356" t="s">
        <v>25</v>
      </c>
      <c r="O17" s="1356" t="s">
        <v>25</v>
      </c>
      <c r="P17" s="1356" t="s">
        <v>25</v>
      </c>
      <c r="Q17" s="1356" t="s">
        <v>25</v>
      </c>
      <c r="R17" s="1357" t="s">
        <v>25</v>
      </c>
      <c r="S17" s="1355" t="s">
        <v>25</v>
      </c>
      <c r="T17" s="1356">
        <v>5</v>
      </c>
      <c r="U17" s="1356" t="s">
        <v>25</v>
      </c>
      <c r="V17" s="1356" t="s">
        <v>25</v>
      </c>
      <c r="W17" s="1356" t="s">
        <v>25</v>
      </c>
      <c r="X17" s="1356" t="s">
        <v>25</v>
      </c>
      <c r="Y17" s="1356" t="s">
        <v>25</v>
      </c>
      <c r="Z17" s="1356" t="s">
        <v>25</v>
      </c>
      <c r="AA17" s="1356" t="s">
        <v>25</v>
      </c>
      <c r="AB17" s="1356" t="s">
        <v>25</v>
      </c>
      <c r="AC17" s="1356" t="s">
        <v>25</v>
      </c>
      <c r="AD17" s="1357" t="s">
        <v>25</v>
      </c>
      <c r="AE17" s="1359">
        <f t="shared" si="0"/>
        <v>6</v>
      </c>
    </row>
    <row r="18" spans="1:31" ht="21.75" customHeight="1" x14ac:dyDescent="0.2">
      <c r="A18" s="1951">
        <f t="shared" si="1"/>
        <v>12</v>
      </c>
      <c r="B18" s="1952" t="s">
        <v>1787</v>
      </c>
      <c r="C18" s="1352">
        <v>10</v>
      </c>
      <c r="D18" s="1353">
        <v>4</v>
      </c>
      <c r="E18" s="1353" t="s">
        <v>25</v>
      </c>
      <c r="F18" s="1354" t="s">
        <v>25</v>
      </c>
      <c r="G18" s="1355">
        <v>6</v>
      </c>
      <c r="H18" s="1356">
        <v>1</v>
      </c>
      <c r="I18" s="1356" t="s">
        <v>25</v>
      </c>
      <c r="J18" s="1356" t="s">
        <v>25</v>
      </c>
      <c r="K18" s="1356">
        <v>1</v>
      </c>
      <c r="L18" s="1357" t="s">
        <v>25</v>
      </c>
      <c r="M18" s="1355">
        <v>5</v>
      </c>
      <c r="N18" s="1356" t="s">
        <v>25</v>
      </c>
      <c r="O18" s="1356" t="s">
        <v>25</v>
      </c>
      <c r="P18" s="1356" t="s">
        <v>25</v>
      </c>
      <c r="Q18" s="1356" t="s">
        <v>25</v>
      </c>
      <c r="R18" s="1357" t="s">
        <v>25</v>
      </c>
      <c r="S18" s="1355">
        <v>1</v>
      </c>
      <c r="T18" s="1356" t="s">
        <v>25</v>
      </c>
      <c r="U18" s="1356" t="s">
        <v>25</v>
      </c>
      <c r="V18" s="1356" t="s">
        <v>25</v>
      </c>
      <c r="W18" s="1356" t="s">
        <v>25</v>
      </c>
      <c r="X18" s="1356" t="s">
        <v>25</v>
      </c>
      <c r="Y18" s="1356" t="s">
        <v>25</v>
      </c>
      <c r="Z18" s="1356" t="s">
        <v>25</v>
      </c>
      <c r="AA18" s="1356" t="s">
        <v>25</v>
      </c>
      <c r="AB18" s="1356" t="s">
        <v>25</v>
      </c>
      <c r="AC18" s="1356" t="s">
        <v>25</v>
      </c>
      <c r="AD18" s="1357" t="s">
        <v>25</v>
      </c>
      <c r="AE18" s="1359">
        <f t="shared" si="0"/>
        <v>14</v>
      </c>
    </row>
    <row r="19" spans="1:31" ht="20.25" customHeight="1" x14ac:dyDescent="0.2">
      <c r="A19" s="1951">
        <f t="shared" si="1"/>
        <v>13</v>
      </c>
      <c r="B19" s="1952" t="s">
        <v>1788</v>
      </c>
      <c r="C19" s="1352">
        <v>4</v>
      </c>
      <c r="D19" s="1353" t="s">
        <v>25</v>
      </c>
      <c r="E19" s="1353" t="s">
        <v>25</v>
      </c>
      <c r="F19" s="1354" t="s">
        <v>25</v>
      </c>
      <c r="G19" s="1355">
        <v>2</v>
      </c>
      <c r="H19" s="1356" t="s">
        <v>25</v>
      </c>
      <c r="I19" s="1356" t="s">
        <v>25</v>
      </c>
      <c r="J19" s="1356">
        <v>1</v>
      </c>
      <c r="K19" s="1356" t="s">
        <v>25</v>
      </c>
      <c r="L19" s="1357" t="s">
        <v>25</v>
      </c>
      <c r="M19" s="1355">
        <v>1</v>
      </c>
      <c r="N19" s="1356" t="s">
        <v>25</v>
      </c>
      <c r="O19" s="1356" t="s">
        <v>25</v>
      </c>
      <c r="P19" s="1356" t="s">
        <v>25</v>
      </c>
      <c r="Q19" s="1356" t="s">
        <v>25</v>
      </c>
      <c r="R19" s="1357" t="s">
        <v>25</v>
      </c>
      <c r="S19" s="1355" t="s">
        <v>25</v>
      </c>
      <c r="T19" s="1356" t="s">
        <v>25</v>
      </c>
      <c r="U19" s="1356" t="s">
        <v>25</v>
      </c>
      <c r="V19" s="1356" t="s">
        <v>25</v>
      </c>
      <c r="W19" s="1356" t="s">
        <v>25</v>
      </c>
      <c r="X19" s="1356" t="s">
        <v>25</v>
      </c>
      <c r="Y19" s="1356" t="s">
        <v>25</v>
      </c>
      <c r="Z19" s="1356" t="s">
        <v>25</v>
      </c>
      <c r="AA19" s="1356" t="s">
        <v>25</v>
      </c>
      <c r="AB19" s="1356" t="s">
        <v>25</v>
      </c>
      <c r="AC19" s="1356" t="s">
        <v>25</v>
      </c>
      <c r="AD19" s="1357" t="s">
        <v>25</v>
      </c>
      <c r="AE19" s="1359">
        <f t="shared" si="0"/>
        <v>4</v>
      </c>
    </row>
    <row r="20" spans="1:31" ht="25.5" x14ac:dyDescent="0.2">
      <c r="A20" s="1951">
        <f t="shared" si="1"/>
        <v>14</v>
      </c>
      <c r="B20" s="1952" t="s">
        <v>110</v>
      </c>
      <c r="C20" s="1352">
        <v>2</v>
      </c>
      <c r="D20" s="1353">
        <v>5</v>
      </c>
      <c r="E20" s="1353" t="s">
        <v>25</v>
      </c>
      <c r="F20" s="1354" t="s">
        <v>25</v>
      </c>
      <c r="G20" s="1355" t="s">
        <v>25</v>
      </c>
      <c r="H20" s="1356" t="s">
        <v>25</v>
      </c>
      <c r="I20" s="1356" t="s">
        <v>25</v>
      </c>
      <c r="J20" s="1356" t="s">
        <v>25</v>
      </c>
      <c r="K20" s="1356" t="s">
        <v>25</v>
      </c>
      <c r="L20" s="1357" t="s">
        <v>25</v>
      </c>
      <c r="M20" s="1355">
        <v>1</v>
      </c>
      <c r="N20" s="1356" t="s">
        <v>25</v>
      </c>
      <c r="O20" s="1356" t="s">
        <v>25</v>
      </c>
      <c r="P20" s="1356" t="s">
        <v>25</v>
      </c>
      <c r="Q20" s="1356" t="s">
        <v>25</v>
      </c>
      <c r="R20" s="1357" t="s">
        <v>25</v>
      </c>
      <c r="S20" s="1355">
        <v>2</v>
      </c>
      <c r="T20" s="1358" t="s">
        <v>25</v>
      </c>
      <c r="U20" s="1356" t="s">
        <v>25</v>
      </c>
      <c r="V20" s="1356" t="s">
        <v>25</v>
      </c>
      <c r="W20" s="1356" t="s">
        <v>25</v>
      </c>
      <c r="X20" s="1356" t="s">
        <v>25</v>
      </c>
      <c r="Y20" s="1356">
        <v>4</v>
      </c>
      <c r="Z20" s="1356" t="s">
        <v>25</v>
      </c>
      <c r="AA20" s="1356" t="s">
        <v>25</v>
      </c>
      <c r="AB20" s="1356" t="s">
        <v>25</v>
      </c>
      <c r="AC20" s="1356" t="s">
        <v>25</v>
      </c>
      <c r="AD20" s="1357" t="s">
        <v>25</v>
      </c>
      <c r="AE20" s="1359">
        <f t="shared" si="0"/>
        <v>7</v>
      </c>
    </row>
    <row r="21" spans="1:31" ht="51" x14ac:dyDescent="0.2">
      <c r="A21" s="1951">
        <f t="shared" si="1"/>
        <v>15</v>
      </c>
      <c r="B21" s="1952" t="s">
        <v>1789</v>
      </c>
      <c r="C21" s="1352">
        <v>5</v>
      </c>
      <c r="D21" s="1353" t="s">
        <v>25</v>
      </c>
      <c r="E21" s="1353" t="s">
        <v>25</v>
      </c>
      <c r="F21" s="1354" t="s">
        <v>25</v>
      </c>
      <c r="G21" s="1355" t="s">
        <v>25</v>
      </c>
      <c r="H21" s="1356" t="s">
        <v>25</v>
      </c>
      <c r="I21" s="1356" t="s">
        <v>25</v>
      </c>
      <c r="J21" s="1356" t="s">
        <v>25</v>
      </c>
      <c r="K21" s="1356" t="s">
        <v>25</v>
      </c>
      <c r="L21" s="1357" t="s">
        <v>25</v>
      </c>
      <c r="M21" s="1355">
        <v>2</v>
      </c>
      <c r="N21" s="1356" t="s">
        <v>25</v>
      </c>
      <c r="O21" s="1356" t="s">
        <v>25</v>
      </c>
      <c r="P21" s="1356" t="s">
        <v>25</v>
      </c>
      <c r="Q21" s="1356" t="s">
        <v>25</v>
      </c>
      <c r="R21" s="1357" t="s">
        <v>25</v>
      </c>
      <c r="S21" s="1355" t="s">
        <v>25</v>
      </c>
      <c r="T21" s="1356" t="s">
        <v>25</v>
      </c>
      <c r="U21" s="1356" t="s">
        <v>25</v>
      </c>
      <c r="V21" s="1356" t="s">
        <v>25</v>
      </c>
      <c r="W21" s="1356">
        <v>3</v>
      </c>
      <c r="X21" s="1356" t="s">
        <v>25</v>
      </c>
      <c r="Y21" s="1356" t="s">
        <v>25</v>
      </c>
      <c r="Z21" s="1356" t="s">
        <v>25</v>
      </c>
      <c r="AA21" s="1356" t="s">
        <v>25</v>
      </c>
      <c r="AB21" s="1356" t="s">
        <v>25</v>
      </c>
      <c r="AC21" s="1356" t="s">
        <v>25</v>
      </c>
      <c r="AD21" s="1357" t="s">
        <v>25</v>
      </c>
      <c r="AE21" s="1359">
        <f t="shared" si="0"/>
        <v>5</v>
      </c>
    </row>
    <row r="22" spans="1:31" ht="25.5" x14ac:dyDescent="0.2">
      <c r="A22" s="1951">
        <f t="shared" si="1"/>
        <v>16</v>
      </c>
      <c r="B22" s="1952" t="s">
        <v>104</v>
      </c>
      <c r="C22" s="1352">
        <v>6</v>
      </c>
      <c r="D22" s="1353">
        <v>3</v>
      </c>
      <c r="E22" s="1353" t="s">
        <v>25</v>
      </c>
      <c r="F22" s="1354" t="s">
        <v>25</v>
      </c>
      <c r="G22" s="1355">
        <v>2</v>
      </c>
      <c r="H22" s="1356" t="s">
        <v>25</v>
      </c>
      <c r="I22" s="1356" t="s">
        <v>25</v>
      </c>
      <c r="J22" s="1356">
        <v>1</v>
      </c>
      <c r="K22" s="1356">
        <v>1</v>
      </c>
      <c r="L22" s="1357" t="s">
        <v>25</v>
      </c>
      <c r="M22" s="1355">
        <v>3</v>
      </c>
      <c r="N22" s="1356" t="s">
        <v>25</v>
      </c>
      <c r="O22" s="1356" t="s">
        <v>25</v>
      </c>
      <c r="P22" s="1356" t="s">
        <v>25</v>
      </c>
      <c r="Q22" s="1356" t="s">
        <v>25</v>
      </c>
      <c r="R22" s="1357" t="s">
        <v>25</v>
      </c>
      <c r="S22" s="1355">
        <v>2</v>
      </c>
      <c r="T22" s="1356"/>
      <c r="U22" s="1356" t="s">
        <v>25</v>
      </c>
      <c r="V22" s="1356" t="s">
        <v>25</v>
      </c>
      <c r="W22" s="1356" t="s">
        <v>25</v>
      </c>
      <c r="X22" s="1356" t="s">
        <v>25</v>
      </c>
      <c r="Y22" s="1356" t="s">
        <v>25</v>
      </c>
      <c r="Z22" s="1356" t="s">
        <v>25</v>
      </c>
      <c r="AA22" s="1356" t="s">
        <v>25</v>
      </c>
      <c r="AB22" s="1356" t="s">
        <v>25</v>
      </c>
      <c r="AC22" s="1356" t="s">
        <v>25</v>
      </c>
      <c r="AD22" s="1357" t="s">
        <v>25</v>
      </c>
      <c r="AE22" s="1359">
        <f t="shared" si="0"/>
        <v>9</v>
      </c>
    </row>
    <row r="23" spans="1:31" ht="25.5" x14ac:dyDescent="0.2">
      <c r="A23" s="1951">
        <f t="shared" si="1"/>
        <v>17</v>
      </c>
      <c r="B23" s="1952" t="s">
        <v>108</v>
      </c>
      <c r="C23" s="1352">
        <v>3</v>
      </c>
      <c r="D23" s="1353">
        <v>4</v>
      </c>
      <c r="E23" s="1353" t="s">
        <v>25</v>
      </c>
      <c r="F23" s="1354" t="s">
        <v>25</v>
      </c>
      <c r="G23" s="1355">
        <v>1</v>
      </c>
      <c r="H23" s="1356">
        <v>2</v>
      </c>
      <c r="I23" s="1356" t="s">
        <v>25</v>
      </c>
      <c r="J23" s="1356" t="s">
        <v>25</v>
      </c>
      <c r="K23" s="1356" t="s">
        <v>25</v>
      </c>
      <c r="L23" s="1357" t="s">
        <v>25</v>
      </c>
      <c r="M23" s="1355">
        <v>1</v>
      </c>
      <c r="N23" s="1356" t="s">
        <v>25</v>
      </c>
      <c r="O23" s="1356" t="s">
        <v>25</v>
      </c>
      <c r="P23" s="1356" t="s">
        <v>25</v>
      </c>
      <c r="Q23" s="1356" t="s">
        <v>25</v>
      </c>
      <c r="R23" s="1357" t="s">
        <v>25</v>
      </c>
      <c r="S23" s="1355" t="s">
        <v>25</v>
      </c>
      <c r="T23" s="1356" t="s">
        <v>25</v>
      </c>
      <c r="U23" s="1356" t="s">
        <v>25</v>
      </c>
      <c r="V23" s="1356">
        <v>1</v>
      </c>
      <c r="W23" s="1356" t="s">
        <v>25</v>
      </c>
      <c r="X23" s="1356" t="s">
        <v>25</v>
      </c>
      <c r="Y23" s="1356" t="s">
        <v>25</v>
      </c>
      <c r="Z23" s="1356" t="s">
        <v>25</v>
      </c>
      <c r="AA23" s="1356">
        <v>2</v>
      </c>
      <c r="AB23" s="1356" t="s">
        <v>25</v>
      </c>
      <c r="AC23" s="1356" t="s">
        <v>25</v>
      </c>
      <c r="AD23" s="1357" t="s">
        <v>25</v>
      </c>
      <c r="AE23" s="1359">
        <f t="shared" si="0"/>
        <v>7</v>
      </c>
    </row>
    <row r="24" spans="1:31" ht="25.5" x14ac:dyDescent="0.2">
      <c r="A24" s="1951">
        <f t="shared" si="1"/>
        <v>18</v>
      </c>
      <c r="B24" s="1952" t="s">
        <v>212</v>
      </c>
      <c r="C24" s="1352">
        <v>11</v>
      </c>
      <c r="D24" s="1353">
        <v>5</v>
      </c>
      <c r="E24" s="1353">
        <v>1</v>
      </c>
      <c r="F24" s="1354" t="s">
        <v>25</v>
      </c>
      <c r="G24" s="1355">
        <v>1</v>
      </c>
      <c r="H24" s="1356" t="s">
        <v>25</v>
      </c>
      <c r="I24" s="1356" t="s">
        <v>25</v>
      </c>
      <c r="J24" s="1356" t="s">
        <v>25</v>
      </c>
      <c r="K24" s="1356" t="s">
        <v>25</v>
      </c>
      <c r="L24" s="1357" t="s">
        <v>25</v>
      </c>
      <c r="M24" s="1355">
        <v>3</v>
      </c>
      <c r="N24" s="1356" t="s">
        <v>25</v>
      </c>
      <c r="O24" s="1356" t="s">
        <v>25</v>
      </c>
      <c r="P24" s="1356" t="s">
        <v>25</v>
      </c>
      <c r="Q24" s="1356" t="s">
        <v>25</v>
      </c>
      <c r="R24" s="1357" t="s">
        <v>25</v>
      </c>
      <c r="S24" s="1355" t="s">
        <v>25</v>
      </c>
      <c r="T24" s="1356" t="s">
        <v>25</v>
      </c>
      <c r="U24" s="1356">
        <v>13</v>
      </c>
      <c r="V24" s="1356" t="s">
        <v>25</v>
      </c>
      <c r="W24" s="1356" t="s">
        <v>25</v>
      </c>
      <c r="X24" s="1356" t="s">
        <v>25</v>
      </c>
      <c r="Y24" s="1356" t="s">
        <v>25</v>
      </c>
      <c r="Z24" s="1356" t="s">
        <v>25</v>
      </c>
      <c r="AA24" s="1356" t="s">
        <v>25</v>
      </c>
      <c r="AB24" s="1356" t="s">
        <v>25</v>
      </c>
      <c r="AC24" s="1356" t="s">
        <v>25</v>
      </c>
      <c r="AD24" s="1357" t="s">
        <v>25</v>
      </c>
      <c r="AE24" s="1359">
        <f t="shared" si="0"/>
        <v>17</v>
      </c>
    </row>
    <row r="25" spans="1:31" ht="25.5" x14ac:dyDescent="0.2">
      <c r="A25" s="1951">
        <f t="shared" si="1"/>
        <v>19</v>
      </c>
      <c r="B25" s="1952" t="s">
        <v>112</v>
      </c>
      <c r="C25" s="1352">
        <v>11</v>
      </c>
      <c r="D25" s="1353">
        <v>1</v>
      </c>
      <c r="E25" s="1353" t="s">
        <v>25</v>
      </c>
      <c r="F25" s="1360">
        <v>1</v>
      </c>
      <c r="G25" s="1355">
        <v>4</v>
      </c>
      <c r="H25" s="1356">
        <v>2</v>
      </c>
      <c r="I25" s="1356" t="s">
        <v>25</v>
      </c>
      <c r="J25" s="1356">
        <v>1</v>
      </c>
      <c r="K25" s="1356" t="s">
        <v>25</v>
      </c>
      <c r="L25" s="1357" t="s">
        <v>25</v>
      </c>
      <c r="M25" s="1355">
        <v>3</v>
      </c>
      <c r="N25" s="1356">
        <v>1</v>
      </c>
      <c r="O25" s="1356" t="s">
        <v>25</v>
      </c>
      <c r="P25" s="1356" t="s">
        <v>25</v>
      </c>
      <c r="Q25" s="1356" t="s">
        <v>25</v>
      </c>
      <c r="R25" s="1357" t="s">
        <v>25</v>
      </c>
      <c r="S25" s="1355" t="s">
        <v>25</v>
      </c>
      <c r="T25" s="1356" t="s">
        <v>25</v>
      </c>
      <c r="U25" s="1356" t="s">
        <v>25</v>
      </c>
      <c r="V25" s="1356" t="s">
        <v>25</v>
      </c>
      <c r="W25" s="1356" t="s">
        <v>25</v>
      </c>
      <c r="X25" s="1356" t="s">
        <v>25</v>
      </c>
      <c r="Y25" s="1356" t="s">
        <v>25</v>
      </c>
      <c r="Z25" s="1356" t="s">
        <v>25</v>
      </c>
      <c r="AA25" s="1356" t="s">
        <v>25</v>
      </c>
      <c r="AB25" s="1356">
        <v>1</v>
      </c>
      <c r="AC25" s="1356" t="s">
        <v>25</v>
      </c>
      <c r="AD25" s="1357">
        <v>1</v>
      </c>
      <c r="AE25" s="1359">
        <f t="shared" si="0"/>
        <v>13</v>
      </c>
    </row>
    <row r="26" spans="1:31" ht="25.5" x14ac:dyDescent="0.2">
      <c r="A26" s="1951">
        <f t="shared" si="1"/>
        <v>20</v>
      </c>
      <c r="B26" s="1952" t="s">
        <v>101</v>
      </c>
      <c r="C26" s="1352">
        <v>8</v>
      </c>
      <c r="D26" s="1353">
        <v>4</v>
      </c>
      <c r="E26" s="1353" t="s">
        <v>25</v>
      </c>
      <c r="F26" s="1354" t="s">
        <v>25</v>
      </c>
      <c r="G26" s="1355">
        <v>7</v>
      </c>
      <c r="H26" s="1356">
        <v>2</v>
      </c>
      <c r="I26" s="1356" t="s">
        <v>25</v>
      </c>
      <c r="J26" s="1356" t="s">
        <v>25</v>
      </c>
      <c r="K26" s="1356" t="s">
        <v>25</v>
      </c>
      <c r="L26" s="1357" t="s">
        <v>25</v>
      </c>
      <c r="M26" s="1355">
        <v>1</v>
      </c>
      <c r="N26" s="1356">
        <v>2</v>
      </c>
      <c r="O26" s="1356" t="s">
        <v>25</v>
      </c>
      <c r="P26" s="1356" t="s">
        <v>25</v>
      </c>
      <c r="Q26" s="1356" t="s">
        <v>25</v>
      </c>
      <c r="R26" s="1357" t="s">
        <v>25</v>
      </c>
      <c r="S26" s="1355" t="s">
        <v>25</v>
      </c>
      <c r="T26" s="1356" t="s">
        <v>25</v>
      </c>
      <c r="U26" s="1356" t="s">
        <v>25</v>
      </c>
      <c r="V26" s="1356" t="s">
        <v>25</v>
      </c>
      <c r="W26" s="1356" t="s">
        <v>25</v>
      </c>
      <c r="X26" s="1356" t="s">
        <v>25</v>
      </c>
      <c r="Y26" s="1356" t="s">
        <v>25</v>
      </c>
      <c r="Z26" s="1356" t="s">
        <v>25</v>
      </c>
      <c r="AA26" s="1356" t="s">
        <v>25</v>
      </c>
      <c r="AB26" s="1356" t="s">
        <v>25</v>
      </c>
      <c r="AC26" s="1356" t="s">
        <v>25</v>
      </c>
      <c r="AD26" s="1357" t="s">
        <v>25</v>
      </c>
      <c r="AE26" s="1359">
        <f t="shared" si="0"/>
        <v>12</v>
      </c>
    </row>
    <row r="27" spans="1:31" ht="26.25" thickBot="1" x14ac:dyDescent="0.25">
      <c r="A27" s="1953">
        <f t="shared" si="1"/>
        <v>21</v>
      </c>
      <c r="B27" s="1954" t="s">
        <v>202</v>
      </c>
      <c r="C27" s="1362">
        <v>4</v>
      </c>
      <c r="D27" s="1363">
        <v>6</v>
      </c>
      <c r="E27" s="1363" t="s">
        <v>25</v>
      </c>
      <c r="F27" s="1364" t="s">
        <v>25</v>
      </c>
      <c r="G27" s="1365" t="s">
        <v>25</v>
      </c>
      <c r="H27" s="1366" t="s">
        <v>25</v>
      </c>
      <c r="I27" s="1366" t="s">
        <v>25</v>
      </c>
      <c r="J27" s="1366" t="s">
        <v>25</v>
      </c>
      <c r="K27" s="1366" t="s">
        <v>25</v>
      </c>
      <c r="L27" s="1367" t="s">
        <v>25</v>
      </c>
      <c r="M27" s="1365">
        <v>2</v>
      </c>
      <c r="N27" s="1366">
        <v>1</v>
      </c>
      <c r="O27" s="1366" t="s">
        <v>25</v>
      </c>
      <c r="P27" s="1366" t="s">
        <v>25</v>
      </c>
      <c r="Q27" s="1366" t="s">
        <v>25</v>
      </c>
      <c r="R27" s="1367" t="s">
        <v>25</v>
      </c>
      <c r="S27" s="1365" t="s">
        <v>25</v>
      </c>
      <c r="T27" s="1366">
        <v>6</v>
      </c>
      <c r="U27" s="1366" t="s">
        <v>25</v>
      </c>
      <c r="V27" s="1366" t="s">
        <v>25</v>
      </c>
      <c r="W27" s="1366">
        <v>1</v>
      </c>
      <c r="X27" s="1366" t="s">
        <v>25</v>
      </c>
      <c r="Y27" s="1366" t="s">
        <v>25</v>
      </c>
      <c r="Z27" s="1366" t="s">
        <v>25</v>
      </c>
      <c r="AA27" s="1366" t="s">
        <v>25</v>
      </c>
      <c r="AB27" s="1366" t="s">
        <v>25</v>
      </c>
      <c r="AC27" s="1366" t="s">
        <v>25</v>
      </c>
      <c r="AD27" s="1367" t="s">
        <v>25</v>
      </c>
      <c r="AE27" s="1368">
        <f t="shared" si="0"/>
        <v>10</v>
      </c>
    </row>
    <row r="28" spans="1:31" ht="29.25" thickBot="1" x14ac:dyDescent="0.25">
      <c r="A28" s="3084" t="s">
        <v>1790</v>
      </c>
      <c r="B28" s="3085"/>
      <c r="C28" s="1955">
        <f>SUM(C7:C27)</f>
        <v>166</v>
      </c>
      <c r="D28" s="1956">
        <f t="shared" ref="D28:AD28" si="2">SUM(D7:D27)</f>
        <v>90</v>
      </c>
      <c r="E28" s="1956">
        <f t="shared" si="2"/>
        <v>2</v>
      </c>
      <c r="F28" s="1957">
        <f t="shared" si="2"/>
        <v>2</v>
      </c>
      <c r="G28" s="1955">
        <f t="shared" si="2"/>
        <v>56</v>
      </c>
      <c r="H28" s="1956">
        <f t="shared" si="2"/>
        <v>19</v>
      </c>
      <c r="I28" s="1956">
        <f t="shared" si="2"/>
        <v>0</v>
      </c>
      <c r="J28" s="1956">
        <f t="shared" si="2"/>
        <v>18</v>
      </c>
      <c r="K28" s="1956">
        <f t="shared" si="2"/>
        <v>6</v>
      </c>
      <c r="L28" s="1957">
        <f t="shared" si="2"/>
        <v>0</v>
      </c>
      <c r="M28" s="1955">
        <f t="shared" si="2"/>
        <v>58</v>
      </c>
      <c r="N28" s="1956">
        <f t="shared" si="2"/>
        <v>18</v>
      </c>
      <c r="O28" s="1956">
        <f t="shared" si="2"/>
        <v>0</v>
      </c>
      <c r="P28" s="1956">
        <f t="shared" si="2"/>
        <v>1</v>
      </c>
      <c r="Q28" s="1956">
        <f t="shared" si="2"/>
        <v>2</v>
      </c>
      <c r="R28" s="1957">
        <f t="shared" si="2"/>
        <v>0</v>
      </c>
      <c r="S28" s="1955">
        <f t="shared" si="2"/>
        <v>6</v>
      </c>
      <c r="T28" s="1956">
        <f t="shared" si="2"/>
        <v>19</v>
      </c>
      <c r="U28" s="1956">
        <f t="shared" si="2"/>
        <v>13</v>
      </c>
      <c r="V28" s="1956">
        <f t="shared" si="2"/>
        <v>11</v>
      </c>
      <c r="W28" s="1956">
        <f t="shared" si="2"/>
        <v>5</v>
      </c>
      <c r="X28" s="1956">
        <f t="shared" si="2"/>
        <v>13</v>
      </c>
      <c r="Y28" s="1956">
        <f t="shared" si="2"/>
        <v>4</v>
      </c>
      <c r="Z28" s="1956">
        <f t="shared" si="2"/>
        <v>0</v>
      </c>
      <c r="AA28" s="1956">
        <f t="shared" si="2"/>
        <v>8</v>
      </c>
      <c r="AB28" s="1956">
        <f t="shared" si="2"/>
        <v>1</v>
      </c>
      <c r="AC28" s="1956">
        <f t="shared" si="2"/>
        <v>1</v>
      </c>
      <c r="AD28" s="1957">
        <f t="shared" si="2"/>
        <v>1</v>
      </c>
      <c r="AE28" s="1958">
        <f>SUM(AE7:AE27)</f>
        <v>260</v>
      </c>
    </row>
    <row r="29" spans="1:31" ht="26.25" thickBot="1" x14ac:dyDescent="0.25">
      <c r="A29" s="3063" t="s">
        <v>1009</v>
      </c>
      <c r="B29" s="3064"/>
      <c r="C29" s="3065">
        <v>260</v>
      </c>
      <c r="D29" s="3066"/>
      <c r="E29" s="3066"/>
      <c r="F29" s="3067"/>
      <c r="G29" s="3068">
        <v>99</v>
      </c>
      <c r="H29" s="3049"/>
      <c r="I29" s="3049"/>
      <c r="J29" s="3049"/>
      <c r="K29" s="3049"/>
      <c r="L29" s="3050"/>
      <c r="M29" s="3068">
        <v>79</v>
      </c>
      <c r="N29" s="3049"/>
      <c r="O29" s="3049"/>
      <c r="P29" s="3049"/>
      <c r="Q29" s="3049"/>
      <c r="R29" s="3050"/>
      <c r="S29" s="3048" t="s">
        <v>1791</v>
      </c>
      <c r="T29" s="3049"/>
      <c r="U29" s="3049"/>
      <c r="V29" s="3049"/>
      <c r="W29" s="3049"/>
      <c r="X29" s="3049"/>
      <c r="Y29" s="3049"/>
      <c r="Z29" s="3049"/>
      <c r="AA29" s="3049"/>
      <c r="AB29" s="3049"/>
      <c r="AC29" s="3049"/>
      <c r="AD29" s="3050"/>
      <c r="AE29" s="1959"/>
    </row>
    <row r="30" spans="1:31" ht="18.75" x14ac:dyDescent="0.2">
      <c r="A30" s="3051" t="s">
        <v>1792</v>
      </c>
      <c r="B30" s="3052"/>
      <c r="C30" s="3052"/>
      <c r="D30" s="3052"/>
      <c r="E30" s="3052"/>
      <c r="F30" s="3052"/>
      <c r="G30" s="3052"/>
      <c r="H30" s="3052"/>
      <c r="I30" s="3052"/>
      <c r="J30" s="3052"/>
      <c r="K30" s="3052"/>
      <c r="L30" s="3052"/>
      <c r="M30" s="3052"/>
      <c r="N30" s="3052"/>
      <c r="O30" s="3052"/>
      <c r="P30" s="3052"/>
      <c r="Q30" s="3052"/>
      <c r="R30" s="3052"/>
      <c r="S30" s="3052"/>
      <c r="T30" s="3052"/>
      <c r="U30" s="3052"/>
      <c r="V30" s="3052"/>
      <c r="W30" s="3052"/>
      <c r="X30" s="3052"/>
      <c r="Y30" s="3052"/>
      <c r="Z30" s="3052"/>
      <c r="AA30" s="3052"/>
      <c r="AB30" s="3052"/>
      <c r="AC30" s="3052"/>
      <c r="AD30" s="3053"/>
      <c r="AE30" s="3054">
        <v>24</v>
      </c>
    </row>
    <row r="31" spans="1:31" ht="18.75" x14ac:dyDescent="0.2">
      <c r="A31" s="3057" t="s">
        <v>1793</v>
      </c>
      <c r="B31" s="3058"/>
      <c r="C31" s="3058"/>
      <c r="D31" s="3058"/>
      <c r="E31" s="3058"/>
      <c r="F31" s="3058"/>
      <c r="G31" s="3058"/>
      <c r="H31" s="3058"/>
      <c r="I31" s="3058"/>
      <c r="J31" s="3058"/>
      <c r="K31" s="3058"/>
      <c r="L31" s="3058"/>
      <c r="M31" s="3058"/>
      <c r="N31" s="3058"/>
      <c r="O31" s="3058"/>
      <c r="P31" s="3058"/>
      <c r="Q31" s="3058"/>
      <c r="R31" s="3058"/>
      <c r="S31" s="3058"/>
      <c r="T31" s="3058"/>
      <c r="U31" s="3058"/>
      <c r="V31" s="3058"/>
      <c r="W31" s="3058"/>
      <c r="X31" s="3058"/>
      <c r="Y31" s="3058"/>
      <c r="Z31" s="3058"/>
      <c r="AA31" s="3058"/>
      <c r="AB31" s="3058"/>
      <c r="AC31" s="3058"/>
      <c r="AD31" s="3059"/>
      <c r="AE31" s="3055"/>
    </row>
    <row r="32" spans="1:31" ht="18.75" x14ac:dyDescent="0.2">
      <c r="A32" s="3057" t="s">
        <v>1794</v>
      </c>
      <c r="B32" s="3058"/>
      <c r="C32" s="3058"/>
      <c r="D32" s="3058"/>
      <c r="E32" s="3058"/>
      <c r="F32" s="3058"/>
      <c r="G32" s="3058"/>
      <c r="H32" s="3058"/>
      <c r="I32" s="3058"/>
      <c r="J32" s="3058"/>
      <c r="K32" s="3058"/>
      <c r="L32" s="3058"/>
      <c r="M32" s="3058"/>
      <c r="N32" s="3058"/>
      <c r="O32" s="3058"/>
      <c r="P32" s="3058"/>
      <c r="Q32" s="3058"/>
      <c r="R32" s="3058"/>
      <c r="S32" s="3058"/>
      <c r="T32" s="3058"/>
      <c r="U32" s="3058"/>
      <c r="V32" s="3058"/>
      <c r="W32" s="3058"/>
      <c r="X32" s="3058"/>
      <c r="Y32" s="3058"/>
      <c r="Z32" s="3058"/>
      <c r="AA32" s="3058"/>
      <c r="AB32" s="3058"/>
      <c r="AC32" s="3058"/>
      <c r="AD32" s="3059"/>
      <c r="AE32" s="3055"/>
    </row>
    <row r="33" spans="1:31" ht="19.5" thickBot="1" x14ac:dyDescent="0.25">
      <c r="A33" s="3060" t="s">
        <v>1795</v>
      </c>
      <c r="B33" s="3061"/>
      <c r="C33" s="3061"/>
      <c r="D33" s="3061"/>
      <c r="E33" s="3061"/>
      <c r="F33" s="3061"/>
      <c r="G33" s="3061"/>
      <c r="H33" s="3061"/>
      <c r="I33" s="3061"/>
      <c r="J33" s="3061"/>
      <c r="K33" s="3061"/>
      <c r="L33" s="3061"/>
      <c r="M33" s="3061"/>
      <c r="N33" s="3061"/>
      <c r="O33" s="3061"/>
      <c r="P33" s="3061"/>
      <c r="Q33" s="3061"/>
      <c r="R33" s="3061"/>
      <c r="S33" s="3061"/>
      <c r="T33" s="3061"/>
      <c r="U33" s="3061"/>
      <c r="V33" s="3061"/>
      <c r="W33" s="3061"/>
      <c r="X33" s="3061"/>
      <c r="Y33" s="3061"/>
      <c r="Z33" s="3061"/>
      <c r="AA33" s="3061"/>
      <c r="AB33" s="3061"/>
      <c r="AC33" s="3061"/>
      <c r="AD33" s="3062"/>
      <c r="AE33" s="3056"/>
    </row>
    <row r="34" spans="1:31" ht="21" thickBot="1" x14ac:dyDescent="0.25">
      <c r="A34" s="3042" t="s">
        <v>1796</v>
      </c>
      <c r="B34" s="3043"/>
      <c r="C34" s="3043"/>
      <c r="D34" s="3043"/>
      <c r="E34" s="3043"/>
      <c r="F34" s="3043"/>
      <c r="G34" s="3043"/>
      <c r="H34" s="3043"/>
      <c r="I34" s="3043"/>
      <c r="J34" s="3043"/>
      <c r="K34" s="3043"/>
      <c r="L34" s="3043"/>
      <c r="M34" s="3043"/>
      <c r="N34" s="3043"/>
      <c r="O34" s="3043"/>
      <c r="P34" s="3043"/>
      <c r="Q34" s="3043"/>
      <c r="R34" s="3043"/>
      <c r="S34" s="3043"/>
      <c r="T34" s="3043"/>
      <c r="U34" s="3043"/>
      <c r="V34" s="3043"/>
      <c r="W34" s="3043"/>
      <c r="X34" s="3043"/>
      <c r="Y34" s="3043"/>
      <c r="Z34" s="3043"/>
      <c r="AA34" s="3043"/>
      <c r="AB34" s="3043"/>
      <c r="AC34" s="3043"/>
      <c r="AD34" s="3044"/>
      <c r="AE34" s="1369">
        <v>65</v>
      </c>
    </row>
    <row r="35" spans="1:31" ht="29.25" thickBot="1" x14ac:dyDescent="0.25">
      <c r="A35" s="3045" t="s">
        <v>1797</v>
      </c>
      <c r="B35" s="3046"/>
      <c r="C35" s="3046"/>
      <c r="D35" s="3046"/>
      <c r="E35" s="3046"/>
      <c r="F35" s="3046"/>
      <c r="G35" s="3046"/>
      <c r="H35" s="3046"/>
      <c r="I35" s="3046"/>
      <c r="J35" s="3046"/>
      <c r="K35" s="3046"/>
      <c r="L35" s="3046"/>
      <c r="M35" s="3046"/>
      <c r="N35" s="3046"/>
      <c r="O35" s="3046"/>
      <c r="P35" s="3046"/>
      <c r="Q35" s="3046"/>
      <c r="R35" s="3046"/>
      <c r="S35" s="3046"/>
      <c r="T35" s="3046"/>
      <c r="U35" s="3046"/>
      <c r="V35" s="3046"/>
      <c r="W35" s="3046"/>
      <c r="X35" s="3046"/>
      <c r="Y35" s="3046"/>
      <c r="Z35" s="3046"/>
      <c r="AA35" s="3046"/>
      <c r="AB35" s="3046"/>
      <c r="AC35" s="3046"/>
      <c r="AD35" s="3047"/>
      <c r="AE35" s="1370">
        <f>SUM(AE28:AE34)</f>
        <v>349</v>
      </c>
    </row>
  </sheetData>
  <mergeCells count="52">
    <mergeCell ref="A2:AE2"/>
    <mergeCell ref="A3:A6"/>
    <mergeCell ref="B3:B6"/>
    <mergeCell ref="C3:F4"/>
    <mergeCell ref="G3:L3"/>
    <mergeCell ref="M3:R3"/>
    <mergeCell ref="S3:S6"/>
    <mergeCell ref="T3:T6"/>
    <mergeCell ref="U3:U6"/>
    <mergeCell ref="AD3:AD6"/>
    <mergeCell ref="AE3:AE6"/>
    <mergeCell ref="G4:I4"/>
    <mergeCell ref="J4:L4"/>
    <mergeCell ref="M4:O4"/>
    <mergeCell ref="P4:R4"/>
    <mergeCell ref="AC3:AC6"/>
    <mergeCell ref="A28:B28"/>
    <mergeCell ref="Y3:Y6"/>
    <mergeCell ref="Z3:Z6"/>
    <mergeCell ref="C5:C6"/>
    <mergeCell ref="D5:D6"/>
    <mergeCell ref="E5:E6"/>
    <mergeCell ref="F5:F6"/>
    <mergeCell ref="G5:G6"/>
    <mergeCell ref="H5:H6"/>
    <mergeCell ref="I5:I6"/>
    <mergeCell ref="J5:J6"/>
    <mergeCell ref="AB3:AB6"/>
    <mergeCell ref="K5:K6"/>
    <mergeCell ref="L5:L6"/>
    <mergeCell ref="M5:M6"/>
    <mergeCell ref="N5:N6"/>
    <mergeCell ref="O5:O6"/>
    <mergeCell ref="AA3:AA6"/>
    <mergeCell ref="V3:V6"/>
    <mergeCell ref="W3:W6"/>
    <mergeCell ref="X3:X6"/>
    <mergeCell ref="P5:P6"/>
    <mergeCell ref="Q5:Q6"/>
    <mergeCell ref="R5:R6"/>
    <mergeCell ref="A34:AD34"/>
    <mergeCell ref="A35:AD35"/>
    <mergeCell ref="S29:AD29"/>
    <mergeCell ref="A30:AD30"/>
    <mergeCell ref="AE30:AE33"/>
    <mergeCell ref="A31:AD31"/>
    <mergeCell ref="A32:AD32"/>
    <mergeCell ref="A33:AD33"/>
    <mergeCell ref="A29:B29"/>
    <mergeCell ref="C29:F29"/>
    <mergeCell ref="G29:L29"/>
    <mergeCell ref="M29:R29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F282"/>
  <sheetViews>
    <sheetView rightToLeft="1" topLeftCell="A41" workbookViewId="0">
      <selection activeCell="B56" sqref="A56:B58"/>
    </sheetView>
  </sheetViews>
  <sheetFormatPr defaultColWidth="9.125" defaultRowHeight="19.5" x14ac:dyDescent="0.55000000000000004"/>
  <cols>
    <col min="1" max="1" width="21.75" style="116" bestFit="1" customWidth="1"/>
    <col min="2" max="2" width="19" style="116" bestFit="1" customWidth="1"/>
    <col min="3" max="3" width="44" style="116" bestFit="1" customWidth="1"/>
    <col min="4" max="5" width="10.25" style="116" customWidth="1"/>
    <col min="6" max="6" width="13" style="116" customWidth="1"/>
    <col min="7" max="16384" width="9.125" style="116"/>
  </cols>
  <sheetData>
    <row r="1" spans="1:6" s="113" customFormat="1" ht="22.5" customHeight="1" thickBot="1" x14ac:dyDescent="0.25">
      <c r="A1" s="2730" t="s">
        <v>214</v>
      </c>
      <c r="B1" s="2730"/>
      <c r="C1" s="2730"/>
      <c r="D1" s="2730"/>
      <c r="E1" s="2730"/>
      <c r="F1" s="2730"/>
    </row>
    <row r="2" spans="1:6" s="113" customFormat="1" ht="29.25" customHeight="1" thickBot="1" x14ac:dyDescent="0.25">
      <c r="A2" s="2290" t="s">
        <v>215</v>
      </c>
      <c r="B2" s="2291" t="s">
        <v>216</v>
      </c>
      <c r="C2" s="2292" t="s">
        <v>217</v>
      </c>
      <c r="D2" s="2293" t="s">
        <v>218</v>
      </c>
      <c r="E2" s="2294" t="s">
        <v>219</v>
      </c>
      <c r="F2" s="2295" t="s">
        <v>220</v>
      </c>
    </row>
    <row r="3" spans="1:6" ht="20.25" hidden="1" x14ac:dyDescent="0.55000000000000004">
      <c r="A3" s="114"/>
      <c r="B3" s="114"/>
      <c r="C3" s="114"/>
      <c r="D3" s="115">
        <v>1403</v>
      </c>
      <c r="E3" s="115">
        <v>1403</v>
      </c>
      <c r="F3" s="115">
        <v>1403</v>
      </c>
    </row>
    <row r="4" spans="1:6" hidden="1" x14ac:dyDescent="0.55000000000000004">
      <c r="A4" s="117" t="s">
        <v>221</v>
      </c>
      <c r="B4" s="117" t="s">
        <v>222</v>
      </c>
      <c r="C4" s="117" t="s">
        <v>223</v>
      </c>
      <c r="D4" s="117" t="s">
        <v>224</v>
      </c>
      <c r="E4" s="117" t="s">
        <v>225</v>
      </c>
      <c r="F4" s="117" t="s">
        <v>226</v>
      </c>
    </row>
    <row r="5" spans="1:6" x14ac:dyDescent="0.55000000000000004">
      <c r="A5" s="2296" t="s">
        <v>227</v>
      </c>
      <c r="B5" s="2297" t="s">
        <v>227</v>
      </c>
      <c r="C5" s="120" t="s">
        <v>228</v>
      </c>
      <c r="D5" s="120">
        <v>22</v>
      </c>
      <c r="E5" s="120">
        <v>1374</v>
      </c>
      <c r="F5" s="120">
        <v>206100</v>
      </c>
    </row>
    <row r="6" spans="1:6" x14ac:dyDescent="0.55000000000000004">
      <c r="A6" s="2296" t="s">
        <v>227</v>
      </c>
      <c r="B6" s="2297" t="s">
        <v>227</v>
      </c>
      <c r="C6" s="120" t="s">
        <v>229</v>
      </c>
      <c r="D6" s="120">
        <v>3</v>
      </c>
      <c r="E6" s="120">
        <v>202</v>
      </c>
      <c r="F6" s="120">
        <v>30300</v>
      </c>
    </row>
    <row r="7" spans="1:6" x14ac:dyDescent="0.55000000000000004">
      <c r="A7" s="2296" t="s">
        <v>227</v>
      </c>
      <c r="B7" s="2297" t="s">
        <v>227</v>
      </c>
      <c r="C7" s="120" t="s">
        <v>230</v>
      </c>
      <c r="D7" s="120">
        <v>2</v>
      </c>
      <c r="E7" s="120">
        <v>81</v>
      </c>
      <c r="F7" s="120">
        <v>12150</v>
      </c>
    </row>
    <row r="8" spans="1:6" x14ac:dyDescent="0.55000000000000004">
      <c r="A8" s="2296" t="s">
        <v>227</v>
      </c>
      <c r="B8" s="2297" t="s">
        <v>227</v>
      </c>
      <c r="C8" s="120" t="s">
        <v>231</v>
      </c>
      <c r="D8" s="120">
        <v>6</v>
      </c>
      <c r="E8" s="120">
        <v>393</v>
      </c>
      <c r="F8" s="120">
        <v>58950</v>
      </c>
    </row>
    <row r="9" spans="1:6" x14ac:dyDescent="0.55000000000000004">
      <c r="A9" s="2296" t="s">
        <v>227</v>
      </c>
      <c r="B9" s="2297" t="s">
        <v>227</v>
      </c>
      <c r="C9" s="120" t="s">
        <v>232</v>
      </c>
      <c r="D9" s="120">
        <v>1</v>
      </c>
      <c r="E9" s="120">
        <v>66</v>
      </c>
      <c r="F9" s="120">
        <v>9900</v>
      </c>
    </row>
    <row r="10" spans="1:6" x14ac:dyDescent="0.55000000000000004">
      <c r="A10" s="2296" t="s">
        <v>227</v>
      </c>
      <c r="B10" s="2297" t="s">
        <v>227</v>
      </c>
      <c r="C10" s="120" t="s">
        <v>233</v>
      </c>
      <c r="D10" s="120">
        <v>1</v>
      </c>
      <c r="E10" s="120">
        <v>64</v>
      </c>
      <c r="F10" s="120">
        <v>9600</v>
      </c>
    </row>
    <row r="11" spans="1:6" x14ac:dyDescent="0.55000000000000004">
      <c r="A11" s="2296" t="s">
        <v>227</v>
      </c>
      <c r="B11" s="2297" t="s">
        <v>227</v>
      </c>
      <c r="C11" s="120" t="s">
        <v>234</v>
      </c>
      <c r="D11" s="120">
        <v>2</v>
      </c>
      <c r="E11" s="120">
        <v>127</v>
      </c>
      <c r="F11" s="120">
        <v>19050</v>
      </c>
    </row>
    <row r="12" spans="1:6" x14ac:dyDescent="0.55000000000000004">
      <c r="A12" s="2296" t="s">
        <v>227</v>
      </c>
      <c r="B12" s="2297" t="s">
        <v>227</v>
      </c>
      <c r="C12" s="120" t="s">
        <v>235</v>
      </c>
      <c r="D12" s="120">
        <v>4</v>
      </c>
      <c r="E12" s="120">
        <v>252</v>
      </c>
      <c r="F12" s="120">
        <v>37800</v>
      </c>
    </row>
    <row r="13" spans="1:6" x14ac:dyDescent="0.55000000000000004">
      <c r="A13" s="2296" t="s">
        <v>227</v>
      </c>
      <c r="B13" s="2297" t="s">
        <v>227</v>
      </c>
      <c r="C13" s="120" t="s">
        <v>236</v>
      </c>
      <c r="D13" s="120">
        <v>12</v>
      </c>
      <c r="E13" s="120">
        <v>725</v>
      </c>
      <c r="F13" s="120">
        <v>108750</v>
      </c>
    </row>
    <row r="14" spans="1:6" x14ac:dyDescent="0.55000000000000004">
      <c r="A14" s="2296" t="s">
        <v>227</v>
      </c>
      <c r="B14" s="2297" t="s">
        <v>227</v>
      </c>
      <c r="C14" s="120" t="s">
        <v>237</v>
      </c>
      <c r="D14" s="120">
        <v>1</v>
      </c>
      <c r="E14" s="120">
        <v>66</v>
      </c>
      <c r="F14" s="120">
        <v>9900</v>
      </c>
    </row>
    <row r="15" spans="1:6" x14ac:dyDescent="0.55000000000000004">
      <c r="A15" s="2296" t="s">
        <v>227</v>
      </c>
      <c r="B15" s="2297" t="s">
        <v>227</v>
      </c>
      <c r="C15" s="120" t="s">
        <v>238</v>
      </c>
      <c r="D15" s="120">
        <v>6</v>
      </c>
      <c r="E15" s="120">
        <v>396</v>
      </c>
      <c r="F15" s="120">
        <v>59400</v>
      </c>
    </row>
    <row r="16" spans="1:6" x14ac:dyDescent="0.55000000000000004">
      <c r="A16" s="2296" t="s">
        <v>227</v>
      </c>
      <c r="B16" s="2297" t="s">
        <v>227</v>
      </c>
      <c r="C16" s="120" t="s">
        <v>239</v>
      </c>
      <c r="D16" s="120">
        <v>1</v>
      </c>
      <c r="E16" s="120">
        <v>67</v>
      </c>
      <c r="F16" s="120">
        <v>10050</v>
      </c>
    </row>
    <row r="17" spans="1:6" ht="20.25" x14ac:dyDescent="0.55000000000000004">
      <c r="A17" s="2725" t="s">
        <v>240</v>
      </c>
      <c r="B17" s="2725"/>
      <c r="C17" s="2725"/>
      <c r="D17" s="121">
        <v>61</v>
      </c>
      <c r="E17" s="121">
        <v>3813</v>
      </c>
      <c r="F17" s="121">
        <v>571950</v>
      </c>
    </row>
    <row r="18" spans="1:6" x14ac:dyDescent="0.55000000000000004">
      <c r="A18" s="2296" t="s">
        <v>227</v>
      </c>
      <c r="B18" s="2297" t="s">
        <v>241</v>
      </c>
      <c r="C18" s="120" t="s">
        <v>242</v>
      </c>
      <c r="D18" s="120">
        <v>164</v>
      </c>
      <c r="E18" s="120">
        <v>6696</v>
      </c>
      <c r="F18" s="120">
        <v>12908690</v>
      </c>
    </row>
    <row r="19" spans="1:6" x14ac:dyDescent="0.55000000000000004">
      <c r="A19" s="2296" t="s">
        <v>227</v>
      </c>
      <c r="B19" s="2297" t="s">
        <v>241</v>
      </c>
      <c r="C19" s="120" t="s">
        <v>235</v>
      </c>
      <c r="D19" s="120">
        <v>269</v>
      </c>
      <c r="E19" s="120">
        <v>10136</v>
      </c>
      <c r="F19" s="120">
        <v>19522919</v>
      </c>
    </row>
    <row r="20" spans="1:6" ht="20.25" x14ac:dyDescent="0.55000000000000004">
      <c r="A20" s="2725" t="s">
        <v>243</v>
      </c>
      <c r="B20" s="2725"/>
      <c r="C20" s="2725"/>
      <c r="D20" s="121">
        <v>433</v>
      </c>
      <c r="E20" s="121">
        <v>16832</v>
      </c>
      <c r="F20" s="121">
        <v>32431609</v>
      </c>
    </row>
    <row r="21" spans="1:6" x14ac:dyDescent="0.55000000000000004">
      <c r="A21" s="2296" t="s">
        <v>227</v>
      </c>
      <c r="B21" s="2297" t="s">
        <v>244</v>
      </c>
      <c r="C21" s="120" t="s">
        <v>235</v>
      </c>
      <c r="D21" s="120">
        <v>28</v>
      </c>
      <c r="E21" s="120">
        <v>1480</v>
      </c>
      <c r="F21" s="120">
        <v>2278839</v>
      </c>
    </row>
    <row r="22" spans="1:6" ht="20.25" x14ac:dyDescent="0.55000000000000004">
      <c r="A22" s="2725" t="s">
        <v>245</v>
      </c>
      <c r="B22" s="2725"/>
      <c r="C22" s="2725"/>
      <c r="D22" s="121">
        <v>28</v>
      </c>
      <c r="E22" s="121">
        <v>1480</v>
      </c>
      <c r="F22" s="121">
        <v>2278839</v>
      </c>
    </row>
    <row r="23" spans="1:6" x14ac:dyDescent="0.55000000000000004">
      <c r="A23" s="2296" t="s">
        <v>227</v>
      </c>
      <c r="B23" s="2297" t="s">
        <v>246</v>
      </c>
      <c r="C23" s="120" t="s">
        <v>242</v>
      </c>
      <c r="D23" s="120">
        <v>26</v>
      </c>
      <c r="E23" s="120">
        <v>1410</v>
      </c>
      <c r="F23" s="120">
        <v>2064270</v>
      </c>
    </row>
    <row r="24" spans="1:6" x14ac:dyDescent="0.55000000000000004">
      <c r="A24" s="2296" t="s">
        <v>227</v>
      </c>
      <c r="B24" s="2297" t="s">
        <v>246</v>
      </c>
      <c r="C24" s="120" t="s">
        <v>235</v>
      </c>
      <c r="D24" s="120">
        <v>172</v>
      </c>
      <c r="E24" s="120">
        <v>8306</v>
      </c>
      <c r="F24" s="120">
        <v>12160158</v>
      </c>
    </row>
    <row r="25" spans="1:6" ht="20.25" x14ac:dyDescent="0.55000000000000004">
      <c r="A25" s="2725" t="s">
        <v>247</v>
      </c>
      <c r="B25" s="2725"/>
      <c r="C25" s="2725"/>
      <c r="D25" s="121">
        <v>198</v>
      </c>
      <c r="E25" s="121">
        <v>9716</v>
      </c>
      <c r="F25" s="121">
        <v>14224428</v>
      </c>
    </row>
    <row r="26" spans="1:6" x14ac:dyDescent="0.55000000000000004">
      <c r="A26" s="2296" t="s">
        <v>227</v>
      </c>
      <c r="B26" s="2297" t="s">
        <v>248</v>
      </c>
      <c r="C26" s="120" t="s">
        <v>242</v>
      </c>
      <c r="D26" s="120">
        <v>6</v>
      </c>
      <c r="E26" s="120">
        <v>138</v>
      </c>
      <c r="F26" s="120">
        <v>81393</v>
      </c>
    </row>
    <row r="27" spans="1:6" ht="20.25" x14ac:dyDescent="0.55000000000000004">
      <c r="A27" s="2725" t="s">
        <v>249</v>
      </c>
      <c r="B27" s="2725"/>
      <c r="C27" s="2725"/>
      <c r="D27" s="121">
        <v>6</v>
      </c>
      <c r="E27" s="121">
        <v>138</v>
      </c>
      <c r="F27" s="121">
        <v>81393</v>
      </c>
    </row>
    <row r="28" spans="1:6" ht="20.25" x14ac:dyDescent="0.55000000000000004">
      <c r="A28" s="2731" t="s">
        <v>250</v>
      </c>
      <c r="B28" s="2731"/>
      <c r="C28" s="2731"/>
      <c r="D28" s="2298">
        <v>726</v>
      </c>
      <c r="E28" s="2298">
        <v>31979</v>
      </c>
      <c r="F28" s="2298">
        <v>49588219</v>
      </c>
    </row>
    <row r="29" spans="1:6" x14ac:dyDescent="0.55000000000000004">
      <c r="A29" s="2296" t="s">
        <v>241</v>
      </c>
      <c r="B29" s="2297" t="s">
        <v>227</v>
      </c>
      <c r="C29" s="120" t="s">
        <v>235</v>
      </c>
      <c r="D29" s="120">
        <v>497</v>
      </c>
      <c r="E29" s="120">
        <v>13914</v>
      </c>
      <c r="F29" s="120">
        <v>26475852</v>
      </c>
    </row>
    <row r="30" spans="1:6" x14ac:dyDescent="0.55000000000000004">
      <c r="A30" s="2296" t="s">
        <v>241</v>
      </c>
      <c r="B30" s="2297" t="s">
        <v>227</v>
      </c>
      <c r="C30" s="120" t="s">
        <v>251</v>
      </c>
      <c r="D30" s="120">
        <v>7</v>
      </c>
      <c r="E30" s="120">
        <v>70</v>
      </c>
      <c r="F30" s="120">
        <v>133197</v>
      </c>
    </row>
    <row r="31" spans="1:6" ht="20.25" x14ac:dyDescent="0.55000000000000004">
      <c r="A31" s="2725" t="s">
        <v>252</v>
      </c>
      <c r="B31" s="2725"/>
      <c r="C31" s="2725"/>
      <c r="D31" s="121">
        <v>504</v>
      </c>
      <c r="E31" s="121">
        <v>13984</v>
      </c>
      <c r="F31" s="121">
        <v>26609049</v>
      </c>
    </row>
    <row r="32" spans="1:6" x14ac:dyDescent="0.55000000000000004">
      <c r="A32" s="2296" t="s">
        <v>241</v>
      </c>
      <c r="B32" s="2297" t="s">
        <v>253</v>
      </c>
      <c r="C32" s="120" t="s">
        <v>228</v>
      </c>
      <c r="D32" s="120">
        <v>86</v>
      </c>
      <c r="E32" s="120">
        <v>5420</v>
      </c>
      <c r="F32" s="120">
        <v>8762805</v>
      </c>
    </row>
    <row r="33" spans="1:6" x14ac:dyDescent="0.55000000000000004">
      <c r="A33" s="2296" t="s">
        <v>241</v>
      </c>
      <c r="B33" s="2297" t="s">
        <v>253</v>
      </c>
      <c r="C33" s="120" t="s">
        <v>254</v>
      </c>
      <c r="D33" s="120">
        <v>4</v>
      </c>
      <c r="E33" s="120">
        <v>1260</v>
      </c>
      <c r="F33" s="120">
        <v>2029836</v>
      </c>
    </row>
    <row r="34" spans="1:6" x14ac:dyDescent="0.55000000000000004">
      <c r="A34" s="2296" t="s">
        <v>241</v>
      </c>
      <c r="B34" s="2297" t="s">
        <v>253</v>
      </c>
      <c r="C34" s="120" t="s">
        <v>255</v>
      </c>
      <c r="D34" s="120">
        <v>18</v>
      </c>
      <c r="E34" s="120">
        <v>1118</v>
      </c>
      <c r="F34" s="120">
        <v>1803902</v>
      </c>
    </row>
    <row r="35" spans="1:6" x14ac:dyDescent="0.55000000000000004">
      <c r="A35" s="2296" t="s">
        <v>241</v>
      </c>
      <c r="B35" s="2297" t="s">
        <v>253</v>
      </c>
      <c r="C35" s="120" t="s">
        <v>256</v>
      </c>
      <c r="D35" s="120">
        <v>6</v>
      </c>
      <c r="E35" s="120">
        <v>330</v>
      </c>
      <c r="F35" s="120">
        <v>531624</v>
      </c>
    </row>
    <row r="36" spans="1:6" x14ac:dyDescent="0.55000000000000004">
      <c r="A36" s="2296" t="s">
        <v>241</v>
      </c>
      <c r="B36" s="2297" t="s">
        <v>253</v>
      </c>
      <c r="C36" s="120" t="s">
        <v>257</v>
      </c>
      <c r="D36" s="120">
        <v>15</v>
      </c>
      <c r="E36" s="120">
        <v>653</v>
      </c>
      <c r="F36" s="120">
        <v>1055132</v>
      </c>
    </row>
    <row r="37" spans="1:6" x14ac:dyDescent="0.55000000000000004">
      <c r="A37" s="2296" t="s">
        <v>241</v>
      </c>
      <c r="B37" s="2297" t="s">
        <v>253</v>
      </c>
      <c r="C37" s="120" t="s">
        <v>229</v>
      </c>
      <c r="D37" s="120">
        <v>6</v>
      </c>
      <c r="E37" s="120">
        <v>385</v>
      </c>
      <c r="F37" s="120">
        <v>622624</v>
      </c>
    </row>
    <row r="38" spans="1:6" x14ac:dyDescent="0.55000000000000004">
      <c r="A38" s="2296" t="s">
        <v>241</v>
      </c>
      <c r="B38" s="2297" t="s">
        <v>253</v>
      </c>
      <c r="C38" s="120" t="s">
        <v>258</v>
      </c>
      <c r="D38" s="120">
        <v>1</v>
      </c>
      <c r="E38" s="120">
        <v>55</v>
      </c>
      <c r="F38" s="120">
        <v>88604</v>
      </c>
    </row>
    <row r="39" spans="1:6" x14ac:dyDescent="0.55000000000000004">
      <c r="A39" s="2296" t="s">
        <v>241</v>
      </c>
      <c r="B39" s="2297" t="s">
        <v>253</v>
      </c>
      <c r="C39" s="120" t="s">
        <v>259</v>
      </c>
      <c r="D39" s="120">
        <v>1</v>
      </c>
      <c r="E39" s="120">
        <v>53</v>
      </c>
      <c r="F39" s="120">
        <v>85382</v>
      </c>
    </row>
    <row r="40" spans="1:6" x14ac:dyDescent="0.55000000000000004">
      <c r="A40" s="2296" t="s">
        <v>241</v>
      </c>
      <c r="B40" s="2297" t="s">
        <v>253</v>
      </c>
      <c r="C40" s="120" t="s">
        <v>260</v>
      </c>
      <c r="D40" s="120">
        <v>2</v>
      </c>
      <c r="E40" s="120">
        <v>130</v>
      </c>
      <c r="F40" s="120">
        <v>210237</v>
      </c>
    </row>
    <row r="41" spans="1:6" x14ac:dyDescent="0.55000000000000004">
      <c r="A41" s="2296" t="s">
        <v>241</v>
      </c>
      <c r="B41" s="2297" t="s">
        <v>253</v>
      </c>
      <c r="C41" s="120" t="s">
        <v>261</v>
      </c>
      <c r="D41" s="120">
        <v>19</v>
      </c>
      <c r="E41" s="120">
        <v>1279</v>
      </c>
      <c r="F41" s="120">
        <v>2068405</v>
      </c>
    </row>
    <row r="42" spans="1:6" x14ac:dyDescent="0.55000000000000004">
      <c r="A42" s="2296" t="s">
        <v>241</v>
      </c>
      <c r="B42" s="2297" t="s">
        <v>253</v>
      </c>
      <c r="C42" s="120" t="s">
        <v>262</v>
      </c>
      <c r="D42" s="120">
        <v>1</v>
      </c>
      <c r="E42" s="120">
        <v>63</v>
      </c>
      <c r="F42" s="120">
        <v>101884</v>
      </c>
    </row>
    <row r="43" spans="1:6" x14ac:dyDescent="0.55000000000000004">
      <c r="A43" s="2296" t="s">
        <v>241</v>
      </c>
      <c r="B43" s="2297" t="s">
        <v>253</v>
      </c>
      <c r="C43" s="120" t="s">
        <v>263</v>
      </c>
      <c r="D43" s="120">
        <v>23</v>
      </c>
      <c r="E43" s="120">
        <v>1496</v>
      </c>
      <c r="F43" s="120">
        <v>2419339</v>
      </c>
    </row>
    <row r="44" spans="1:6" x14ac:dyDescent="0.55000000000000004">
      <c r="A44" s="2296" t="s">
        <v>241</v>
      </c>
      <c r="B44" s="2297" t="s">
        <v>253</v>
      </c>
      <c r="C44" s="120" t="s">
        <v>264</v>
      </c>
      <c r="D44" s="120">
        <v>16</v>
      </c>
      <c r="E44" s="120">
        <v>846</v>
      </c>
      <c r="F44" s="120">
        <v>1368155</v>
      </c>
    </row>
    <row r="45" spans="1:6" x14ac:dyDescent="0.55000000000000004">
      <c r="A45" s="2296" t="s">
        <v>241</v>
      </c>
      <c r="B45" s="2297" t="s">
        <v>253</v>
      </c>
      <c r="C45" s="120" t="s">
        <v>265</v>
      </c>
      <c r="D45" s="120">
        <v>20</v>
      </c>
      <c r="E45" s="120">
        <v>1320</v>
      </c>
      <c r="F45" s="120">
        <v>2134711</v>
      </c>
    </row>
    <row r="46" spans="1:6" x14ac:dyDescent="0.55000000000000004">
      <c r="A46" s="2296" t="s">
        <v>241</v>
      </c>
      <c r="B46" s="2297" t="s">
        <v>253</v>
      </c>
      <c r="C46" s="120" t="s">
        <v>266</v>
      </c>
      <c r="D46" s="120">
        <v>24</v>
      </c>
      <c r="E46" s="120">
        <v>1468</v>
      </c>
      <c r="F46" s="120">
        <v>2374057</v>
      </c>
    </row>
    <row r="47" spans="1:6" x14ac:dyDescent="0.55000000000000004">
      <c r="A47" s="2296" t="s">
        <v>241</v>
      </c>
      <c r="B47" s="2297" t="s">
        <v>253</v>
      </c>
      <c r="C47" s="120" t="s">
        <v>267</v>
      </c>
      <c r="D47" s="120">
        <v>2</v>
      </c>
      <c r="E47" s="120">
        <v>130</v>
      </c>
      <c r="F47" s="120">
        <v>210237</v>
      </c>
    </row>
    <row r="48" spans="1:6" x14ac:dyDescent="0.55000000000000004">
      <c r="A48" s="2296" t="s">
        <v>241</v>
      </c>
      <c r="B48" s="2297" t="s">
        <v>253</v>
      </c>
      <c r="C48" s="120" t="s">
        <v>235</v>
      </c>
      <c r="D48" s="120">
        <v>1211</v>
      </c>
      <c r="E48" s="120">
        <v>61116</v>
      </c>
      <c r="F48" s="120">
        <v>98825852</v>
      </c>
    </row>
    <row r="49" spans="1:6" x14ac:dyDescent="0.55000000000000004">
      <c r="A49" s="2296" t="s">
        <v>241</v>
      </c>
      <c r="B49" s="2297" t="s">
        <v>253</v>
      </c>
      <c r="C49" s="120" t="s">
        <v>251</v>
      </c>
      <c r="D49" s="120">
        <v>68</v>
      </c>
      <c r="E49" s="120">
        <v>680</v>
      </c>
      <c r="F49" s="120">
        <v>1097458</v>
      </c>
    </row>
    <row r="50" spans="1:6" x14ac:dyDescent="0.55000000000000004">
      <c r="A50" s="2296" t="s">
        <v>241</v>
      </c>
      <c r="B50" s="2297" t="s">
        <v>253</v>
      </c>
      <c r="C50" s="120" t="s">
        <v>268</v>
      </c>
      <c r="D50" s="120">
        <v>2</v>
      </c>
      <c r="E50" s="120">
        <v>103</v>
      </c>
      <c r="F50" s="120">
        <v>166572</v>
      </c>
    </row>
    <row r="51" spans="1:6" x14ac:dyDescent="0.55000000000000004">
      <c r="A51" s="2296" t="s">
        <v>241</v>
      </c>
      <c r="B51" s="2297" t="s">
        <v>253</v>
      </c>
      <c r="C51" s="120" t="s">
        <v>269</v>
      </c>
      <c r="D51" s="120">
        <v>1</v>
      </c>
      <c r="E51" s="120">
        <v>44</v>
      </c>
      <c r="F51" s="120">
        <v>71157</v>
      </c>
    </row>
    <row r="52" spans="1:6" x14ac:dyDescent="0.55000000000000004">
      <c r="A52" s="2296" t="s">
        <v>241</v>
      </c>
      <c r="B52" s="2297" t="s">
        <v>253</v>
      </c>
      <c r="C52" s="120" t="s">
        <v>270</v>
      </c>
      <c r="D52" s="120">
        <v>48</v>
      </c>
      <c r="E52" s="120">
        <v>2238</v>
      </c>
      <c r="F52" s="120">
        <v>3619305</v>
      </c>
    </row>
    <row r="53" spans="1:6" x14ac:dyDescent="0.55000000000000004">
      <c r="A53" s="2296" t="s">
        <v>241</v>
      </c>
      <c r="B53" s="2297" t="s">
        <v>253</v>
      </c>
      <c r="C53" s="120" t="s">
        <v>238</v>
      </c>
      <c r="D53" s="120">
        <v>3</v>
      </c>
      <c r="E53" s="120">
        <v>192</v>
      </c>
      <c r="F53" s="120">
        <v>310503</v>
      </c>
    </row>
    <row r="54" spans="1:6" x14ac:dyDescent="0.55000000000000004">
      <c r="A54" s="2296" t="s">
        <v>241</v>
      </c>
      <c r="B54" s="2297" t="s">
        <v>253</v>
      </c>
      <c r="C54" s="120" t="s">
        <v>271</v>
      </c>
      <c r="D54" s="120">
        <v>3</v>
      </c>
      <c r="E54" s="120">
        <v>33</v>
      </c>
      <c r="F54" s="120">
        <v>53162</v>
      </c>
    </row>
    <row r="55" spans="1:6" ht="20.25" x14ac:dyDescent="0.55000000000000004">
      <c r="A55" s="2725" t="s">
        <v>272</v>
      </c>
      <c r="B55" s="2725"/>
      <c r="C55" s="2725"/>
      <c r="D55" s="121">
        <v>1580</v>
      </c>
      <c r="E55" s="121">
        <v>80412</v>
      </c>
      <c r="F55" s="121">
        <v>130010943</v>
      </c>
    </row>
    <row r="56" spans="1:6" x14ac:dyDescent="0.55000000000000004">
      <c r="A56" s="2296" t="s">
        <v>241</v>
      </c>
      <c r="B56" s="2297" t="s">
        <v>244</v>
      </c>
      <c r="C56" s="120" t="s">
        <v>228</v>
      </c>
      <c r="D56" s="120">
        <v>4</v>
      </c>
      <c r="E56" s="120">
        <v>88</v>
      </c>
      <c r="F56" s="120">
        <v>202973</v>
      </c>
    </row>
    <row r="57" spans="1:6" x14ac:dyDescent="0.55000000000000004">
      <c r="A57" s="2296" t="s">
        <v>241</v>
      </c>
      <c r="B57" s="2297" t="s">
        <v>244</v>
      </c>
      <c r="C57" s="120" t="s">
        <v>229</v>
      </c>
      <c r="D57" s="120">
        <v>5</v>
      </c>
      <c r="E57" s="120">
        <v>238</v>
      </c>
      <c r="F57" s="120">
        <v>548951</v>
      </c>
    </row>
    <row r="58" spans="1:6" x14ac:dyDescent="0.55000000000000004">
      <c r="A58" s="2296" t="s">
        <v>241</v>
      </c>
      <c r="B58" s="2297" t="s">
        <v>244</v>
      </c>
      <c r="C58" s="120" t="s">
        <v>266</v>
      </c>
      <c r="D58" s="120">
        <v>2</v>
      </c>
      <c r="E58" s="120">
        <v>100</v>
      </c>
      <c r="F58" s="120">
        <v>230652</v>
      </c>
    </row>
    <row r="59" spans="1:6" ht="20.25" x14ac:dyDescent="0.55000000000000004">
      <c r="A59" s="2725" t="s">
        <v>273</v>
      </c>
      <c r="B59" s="2725"/>
      <c r="C59" s="2725"/>
      <c r="D59" s="121">
        <v>11</v>
      </c>
      <c r="E59" s="121">
        <v>426</v>
      </c>
      <c r="F59" s="121">
        <v>982576</v>
      </c>
    </row>
    <row r="60" spans="1:6" x14ac:dyDescent="0.55000000000000004">
      <c r="A60" s="118" t="s">
        <v>241</v>
      </c>
      <c r="B60" s="119" t="s">
        <v>274</v>
      </c>
      <c r="C60" s="120" t="s">
        <v>235</v>
      </c>
      <c r="D60" s="120">
        <v>1</v>
      </c>
      <c r="E60" s="120">
        <v>33</v>
      </c>
      <c r="F60" s="120">
        <v>58180</v>
      </c>
    </row>
    <row r="61" spans="1:6" ht="20.25" x14ac:dyDescent="0.55000000000000004">
      <c r="A61" s="2725" t="s">
        <v>275</v>
      </c>
      <c r="B61" s="2725"/>
      <c r="C61" s="2725"/>
      <c r="D61" s="121">
        <v>1</v>
      </c>
      <c r="E61" s="121">
        <v>33</v>
      </c>
      <c r="F61" s="121">
        <v>58180</v>
      </c>
    </row>
    <row r="62" spans="1:6" x14ac:dyDescent="0.55000000000000004">
      <c r="A62" s="118" t="s">
        <v>241</v>
      </c>
      <c r="B62" s="119" t="s">
        <v>276</v>
      </c>
      <c r="C62" s="120" t="s">
        <v>264</v>
      </c>
      <c r="D62" s="120">
        <v>17</v>
      </c>
      <c r="E62" s="120">
        <v>985</v>
      </c>
      <c r="F62" s="120">
        <v>1472900</v>
      </c>
    </row>
    <row r="63" spans="1:6" x14ac:dyDescent="0.55000000000000004">
      <c r="A63" s="118" t="s">
        <v>241</v>
      </c>
      <c r="B63" s="119" t="s">
        <v>276</v>
      </c>
      <c r="C63" s="120" t="s">
        <v>235</v>
      </c>
      <c r="D63" s="120">
        <v>23</v>
      </c>
      <c r="E63" s="120">
        <v>1341</v>
      </c>
      <c r="F63" s="120">
        <v>2005237</v>
      </c>
    </row>
    <row r="64" spans="1:6" ht="20.25" x14ac:dyDescent="0.55000000000000004">
      <c r="A64" s="2725" t="s">
        <v>277</v>
      </c>
      <c r="B64" s="2725"/>
      <c r="C64" s="2725"/>
      <c r="D64" s="121">
        <v>40</v>
      </c>
      <c r="E64" s="121">
        <v>2326</v>
      </c>
      <c r="F64" s="121">
        <v>3478137</v>
      </c>
    </row>
    <row r="65" spans="1:6" x14ac:dyDescent="0.55000000000000004">
      <c r="A65" s="118" t="s">
        <v>241</v>
      </c>
      <c r="B65" s="119" t="s">
        <v>278</v>
      </c>
      <c r="C65" s="120" t="s">
        <v>235</v>
      </c>
      <c r="D65" s="120">
        <v>38</v>
      </c>
      <c r="E65" s="120">
        <v>1605</v>
      </c>
      <c r="F65" s="120">
        <v>2341188</v>
      </c>
    </row>
    <row r="66" spans="1:6" ht="20.25" x14ac:dyDescent="0.55000000000000004">
      <c r="A66" s="2725" t="s">
        <v>279</v>
      </c>
      <c r="B66" s="2725"/>
      <c r="C66" s="2725"/>
      <c r="D66" s="121">
        <v>38</v>
      </c>
      <c r="E66" s="121">
        <v>1605</v>
      </c>
      <c r="F66" s="121">
        <v>2341188</v>
      </c>
    </row>
    <row r="67" spans="1:6" ht="20.25" x14ac:dyDescent="0.55000000000000004">
      <c r="A67" s="2726" t="s">
        <v>280</v>
      </c>
      <c r="B67" s="2726"/>
      <c r="C67" s="2726"/>
      <c r="D67" s="122">
        <v>2174</v>
      </c>
      <c r="E67" s="122">
        <v>98786</v>
      </c>
      <c r="F67" s="122">
        <v>163480073</v>
      </c>
    </row>
    <row r="68" spans="1:6" x14ac:dyDescent="0.55000000000000004">
      <c r="A68" s="118" t="s">
        <v>253</v>
      </c>
      <c r="B68" s="119" t="s">
        <v>241</v>
      </c>
      <c r="C68" s="120" t="s">
        <v>258</v>
      </c>
      <c r="D68" s="120">
        <v>4</v>
      </c>
      <c r="E68" s="120">
        <v>197</v>
      </c>
      <c r="F68" s="120">
        <v>318589</v>
      </c>
    </row>
    <row r="69" spans="1:6" x14ac:dyDescent="0.55000000000000004">
      <c r="A69" s="118" t="s">
        <v>253</v>
      </c>
      <c r="B69" s="119" t="s">
        <v>241</v>
      </c>
      <c r="C69" s="120" t="s">
        <v>262</v>
      </c>
      <c r="D69" s="120">
        <v>5</v>
      </c>
      <c r="E69" s="120">
        <v>325</v>
      </c>
      <c r="F69" s="120">
        <v>525592</v>
      </c>
    </row>
    <row r="70" spans="1:6" x14ac:dyDescent="0.55000000000000004">
      <c r="A70" s="118" t="s">
        <v>253</v>
      </c>
      <c r="B70" s="119" t="s">
        <v>241</v>
      </c>
      <c r="C70" s="120" t="s">
        <v>281</v>
      </c>
      <c r="D70" s="120">
        <v>403</v>
      </c>
      <c r="E70" s="120">
        <v>25101</v>
      </c>
      <c r="F70" s="120">
        <v>40593462</v>
      </c>
    </row>
    <row r="71" spans="1:6" x14ac:dyDescent="0.55000000000000004">
      <c r="A71" s="118" t="s">
        <v>253</v>
      </c>
      <c r="B71" s="119" t="s">
        <v>241</v>
      </c>
      <c r="C71" s="120" t="s">
        <v>282</v>
      </c>
      <c r="D71" s="120">
        <v>167</v>
      </c>
      <c r="E71" s="120">
        <v>9646</v>
      </c>
      <c r="F71" s="120">
        <v>15599559</v>
      </c>
    </row>
    <row r="72" spans="1:6" x14ac:dyDescent="0.55000000000000004">
      <c r="A72" s="118" t="s">
        <v>253</v>
      </c>
      <c r="B72" s="119" t="s">
        <v>241</v>
      </c>
      <c r="C72" s="120" t="s">
        <v>235</v>
      </c>
      <c r="D72" s="120">
        <v>91</v>
      </c>
      <c r="E72" s="120">
        <v>4471</v>
      </c>
      <c r="F72" s="120">
        <v>7230523</v>
      </c>
    </row>
    <row r="73" spans="1:6" x14ac:dyDescent="0.55000000000000004">
      <c r="A73" s="118" t="s">
        <v>253</v>
      </c>
      <c r="B73" s="119" t="s">
        <v>241</v>
      </c>
      <c r="C73" s="120" t="s">
        <v>251</v>
      </c>
      <c r="D73" s="120">
        <v>824</v>
      </c>
      <c r="E73" s="120">
        <v>8290</v>
      </c>
      <c r="F73" s="120">
        <v>13399783</v>
      </c>
    </row>
    <row r="74" spans="1:6" x14ac:dyDescent="0.55000000000000004">
      <c r="A74" s="118" t="s">
        <v>253</v>
      </c>
      <c r="B74" s="119" t="s">
        <v>241</v>
      </c>
      <c r="C74" s="120" t="s">
        <v>236</v>
      </c>
      <c r="D74" s="120">
        <v>12</v>
      </c>
      <c r="E74" s="120">
        <v>776</v>
      </c>
      <c r="F74" s="120">
        <v>1254951</v>
      </c>
    </row>
    <row r="75" spans="1:6" x14ac:dyDescent="0.55000000000000004">
      <c r="A75" s="118" t="s">
        <v>253</v>
      </c>
      <c r="B75" s="119" t="s">
        <v>241</v>
      </c>
      <c r="C75" s="120" t="s">
        <v>283</v>
      </c>
      <c r="D75" s="120">
        <v>21774</v>
      </c>
      <c r="E75" s="120">
        <v>1460788</v>
      </c>
      <c r="F75" s="120">
        <v>2362382564</v>
      </c>
    </row>
    <row r="76" spans="1:6" x14ac:dyDescent="0.55000000000000004">
      <c r="A76" s="118" t="s">
        <v>253</v>
      </c>
      <c r="B76" s="119" t="s">
        <v>241</v>
      </c>
      <c r="C76" s="120" t="s">
        <v>284</v>
      </c>
      <c r="D76" s="120">
        <v>172</v>
      </c>
      <c r="E76" s="120">
        <v>10843</v>
      </c>
      <c r="F76" s="120">
        <v>17535353</v>
      </c>
    </row>
    <row r="77" spans="1:6" x14ac:dyDescent="0.55000000000000004">
      <c r="A77" s="118" t="s">
        <v>253</v>
      </c>
      <c r="B77" s="119" t="s">
        <v>241</v>
      </c>
      <c r="C77" s="120" t="s">
        <v>285</v>
      </c>
      <c r="D77" s="120">
        <v>1613</v>
      </c>
      <c r="E77" s="120">
        <v>77142</v>
      </c>
      <c r="F77" s="120">
        <v>124754425</v>
      </c>
    </row>
    <row r="78" spans="1:6" ht="20.25" x14ac:dyDescent="0.55000000000000004">
      <c r="A78" s="2725" t="s">
        <v>286</v>
      </c>
      <c r="B78" s="2725"/>
      <c r="C78" s="2725"/>
      <c r="D78" s="121">
        <v>25065</v>
      </c>
      <c r="E78" s="121">
        <v>1597579</v>
      </c>
      <c r="F78" s="121">
        <v>2583594801</v>
      </c>
    </row>
    <row r="79" spans="1:6" x14ac:dyDescent="0.55000000000000004">
      <c r="A79" s="118" t="s">
        <v>253</v>
      </c>
      <c r="B79" s="119" t="s">
        <v>253</v>
      </c>
      <c r="C79" s="120" t="s">
        <v>287</v>
      </c>
      <c r="D79" s="120">
        <v>548</v>
      </c>
      <c r="E79" s="120">
        <v>10610</v>
      </c>
      <c r="F79" s="120">
        <v>1591500</v>
      </c>
    </row>
    <row r="80" spans="1:6" x14ac:dyDescent="0.55000000000000004">
      <c r="A80" s="118" t="s">
        <v>253</v>
      </c>
      <c r="B80" s="119" t="s">
        <v>253</v>
      </c>
      <c r="C80" s="120" t="s">
        <v>228</v>
      </c>
      <c r="D80" s="120">
        <v>32</v>
      </c>
      <c r="E80" s="120">
        <v>1486</v>
      </c>
      <c r="F80" s="120">
        <v>222900</v>
      </c>
    </row>
    <row r="81" spans="1:6" x14ac:dyDescent="0.55000000000000004">
      <c r="A81" s="118" t="s">
        <v>253</v>
      </c>
      <c r="B81" s="119" t="s">
        <v>253</v>
      </c>
      <c r="C81" s="120" t="s">
        <v>255</v>
      </c>
      <c r="D81" s="120">
        <v>1</v>
      </c>
      <c r="E81" s="120">
        <v>68</v>
      </c>
      <c r="F81" s="120">
        <v>10200</v>
      </c>
    </row>
    <row r="82" spans="1:6" x14ac:dyDescent="0.55000000000000004">
      <c r="A82" s="118" t="s">
        <v>253</v>
      </c>
      <c r="B82" s="119" t="s">
        <v>253</v>
      </c>
      <c r="C82" s="120" t="s">
        <v>257</v>
      </c>
      <c r="D82" s="120">
        <v>8</v>
      </c>
      <c r="E82" s="120">
        <v>507</v>
      </c>
      <c r="F82" s="120">
        <v>76050</v>
      </c>
    </row>
    <row r="83" spans="1:6" x14ac:dyDescent="0.55000000000000004">
      <c r="A83" s="118" t="s">
        <v>253</v>
      </c>
      <c r="B83" s="119" t="s">
        <v>253</v>
      </c>
      <c r="C83" s="120" t="s">
        <v>229</v>
      </c>
      <c r="D83" s="120">
        <v>8</v>
      </c>
      <c r="E83" s="120">
        <v>489</v>
      </c>
      <c r="F83" s="120">
        <v>73350</v>
      </c>
    </row>
    <row r="84" spans="1:6" x14ac:dyDescent="0.55000000000000004">
      <c r="A84" s="118" t="s">
        <v>253</v>
      </c>
      <c r="B84" s="119" t="s">
        <v>253</v>
      </c>
      <c r="C84" s="120" t="s">
        <v>258</v>
      </c>
      <c r="D84" s="120">
        <v>154</v>
      </c>
      <c r="E84" s="120">
        <v>9059</v>
      </c>
      <c r="F84" s="120">
        <v>1358850</v>
      </c>
    </row>
    <row r="85" spans="1:6" x14ac:dyDescent="0.55000000000000004">
      <c r="A85" s="118" t="s">
        <v>253</v>
      </c>
      <c r="B85" s="119" t="s">
        <v>253</v>
      </c>
      <c r="C85" s="120" t="s">
        <v>288</v>
      </c>
      <c r="D85" s="120">
        <v>3</v>
      </c>
      <c r="E85" s="120">
        <v>150</v>
      </c>
      <c r="F85" s="120">
        <v>22500</v>
      </c>
    </row>
    <row r="86" spans="1:6" x14ac:dyDescent="0.55000000000000004">
      <c r="A86" s="118" t="s">
        <v>253</v>
      </c>
      <c r="B86" s="119" t="s">
        <v>253</v>
      </c>
      <c r="C86" s="120" t="s">
        <v>230</v>
      </c>
      <c r="D86" s="120">
        <v>3</v>
      </c>
      <c r="E86" s="120">
        <v>161</v>
      </c>
      <c r="F86" s="120">
        <v>24150</v>
      </c>
    </row>
    <row r="87" spans="1:6" x14ac:dyDescent="0.55000000000000004">
      <c r="A87" s="118" t="s">
        <v>253</v>
      </c>
      <c r="B87" s="119" t="s">
        <v>253</v>
      </c>
      <c r="C87" s="120" t="s">
        <v>289</v>
      </c>
      <c r="D87" s="120">
        <v>9</v>
      </c>
      <c r="E87" s="120">
        <v>560</v>
      </c>
      <c r="F87" s="120">
        <v>84000</v>
      </c>
    </row>
    <row r="88" spans="1:6" x14ac:dyDescent="0.55000000000000004">
      <c r="A88" s="118" t="s">
        <v>253</v>
      </c>
      <c r="B88" s="119" t="s">
        <v>253</v>
      </c>
      <c r="C88" s="120" t="s">
        <v>290</v>
      </c>
      <c r="D88" s="120">
        <v>8</v>
      </c>
      <c r="E88" s="120">
        <v>308</v>
      </c>
      <c r="F88" s="120">
        <v>46200</v>
      </c>
    </row>
    <row r="89" spans="1:6" x14ac:dyDescent="0.55000000000000004">
      <c r="A89" s="118" t="s">
        <v>253</v>
      </c>
      <c r="B89" s="119" t="s">
        <v>253</v>
      </c>
      <c r="C89" s="120" t="s">
        <v>291</v>
      </c>
      <c r="D89" s="120">
        <v>5</v>
      </c>
      <c r="E89" s="120">
        <v>236</v>
      </c>
      <c r="F89" s="120">
        <v>35400</v>
      </c>
    </row>
    <row r="90" spans="1:6" x14ac:dyDescent="0.55000000000000004">
      <c r="A90" s="118" t="s">
        <v>253</v>
      </c>
      <c r="B90" s="119" t="s">
        <v>253</v>
      </c>
      <c r="C90" s="120" t="s">
        <v>262</v>
      </c>
      <c r="D90" s="120">
        <v>2</v>
      </c>
      <c r="E90" s="120">
        <v>129</v>
      </c>
      <c r="F90" s="120">
        <v>19350</v>
      </c>
    </row>
    <row r="91" spans="1:6" x14ac:dyDescent="0.55000000000000004">
      <c r="A91" s="118" t="s">
        <v>253</v>
      </c>
      <c r="B91" s="119" t="s">
        <v>253</v>
      </c>
      <c r="C91" s="120" t="s">
        <v>292</v>
      </c>
      <c r="D91" s="120">
        <v>3</v>
      </c>
      <c r="E91" s="120">
        <v>161</v>
      </c>
      <c r="F91" s="120">
        <v>24150</v>
      </c>
    </row>
    <row r="92" spans="1:6" x14ac:dyDescent="0.55000000000000004">
      <c r="A92" s="118" t="s">
        <v>253</v>
      </c>
      <c r="B92" s="119" t="s">
        <v>253</v>
      </c>
      <c r="C92" s="120" t="s">
        <v>293</v>
      </c>
      <c r="D92" s="120">
        <v>33</v>
      </c>
      <c r="E92" s="120">
        <v>1399</v>
      </c>
      <c r="F92" s="120">
        <v>209850</v>
      </c>
    </row>
    <row r="93" spans="1:6" x14ac:dyDescent="0.55000000000000004">
      <c r="A93" s="118" t="s">
        <v>253</v>
      </c>
      <c r="B93" s="119" t="s">
        <v>253</v>
      </c>
      <c r="C93" s="120" t="s">
        <v>294</v>
      </c>
      <c r="D93" s="120">
        <v>5</v>
      </c>
      <c r="E93" s="120">
        <v>260</v>
      </c>
      <c r="F93" s="120">
        <v>39000</v>
      </c>
    </row>
    <row r="94" spans="1:6" x14ac:dyDescent="0.55000000000000004">
      <c r="A94" s="118" t="s">
        <v>253</v>
      </c>
      <c r="B94" s="119" t="s">
        <v>253</v>
      </c>
      <c r="C94" s="120" t="s">
        <v>281</v>
      </c>
      <c r="D94" s="120">
        <v>5</v>
      </c>
      <c r="E94" s="120">
        <v>261</v>
      </c>
      <c r="F94" s="120">
        <v>39150</v>
      </c>
    </row>
    <row r="95" spans="1:6" x14ac:dyDescent="0.55000000000000004">
      <c r="A95" s="118" t="s">
        <v>253</v>
      </c>
      <c r="B95" s="119" t="s">
        <v>253</v>
      </c>
      <c r="C95" s="120" t="s">
        <v>295</v>
      </c>
      <c r="D95" s="120">
        <v>21</v>
      </c>
      <c r="E95" s="120">
        <v>1025</v>
      </c>
      <c r="F95" s="120">
        <v>153750</v>
      </c>
    </row>
    <row r="96" spans="1:6" x14ac:dyDescent="0.55000000000000004">
      <c r="A96" s="118" t="s">
        <v>253</v>
      </c>
      <c r="B96" s="119" t="s">
        <v>253</v>
      </c>
      <c r="C96" s="120" t="s">
        <v>234</v>
      </c>
      <c r="D96" s="120">
        <v>2</v>
      </c>
      <c r="E96" s="120">
        <v>118</v>
      </c>
      <c r="F96" s="120">
        <v>17700</v>
      </c>
    </row>
    <row r="97" spans="1:6" x14ac:dyDescent="0.55000000000000004">
      <c r="A97" s="118" t="s">
        <v>253</v>
      </c>
      <c r="B97" s="119" t="s">
        <v>253</v>
      </c>
      <c r="C97" s="120" t="s">
        <v>266</v>
      </c>
      <c r="D97" s="120">
        <v>36</v>
      </c>
      <c r="E97" s="120">
        <v>2205</v>
      </c>
      <c r="F97" s="120">
        <v>330750</v>
      </c>
    </row>
    <row r="98" spans="1:6" x14ac:dyDescent="0.55000000000000004">
      <c r="A98" s="118" t="s">
        <v>253</v>
      </c>
      <c r="B98" s="119" t="s">
        <v>253</v>
      </c>
      <c r="C98" s="120" t="s">
        <v>267</v>
      </c>
      <c r="D98" s="120">
        <v>11</v>
      </c>
      <c r="E98" s="120">
        <v>637</v>
      </c>
      <c r="F98" s="120">
        <v>95550</v>
      </c>
    </row>
    <row r="99" spans="1:6" x14ac:dyDescent="0.55000000000000004">
      <c r="A99" s="118" t="s">
        <v>253</v>
      </c>
      <c r="B99" s="119" t="s">
        <v>253</v>
      </c>
      <c r="C99" s="120" t="s">
        <v>235</v>
      </c>
      <c r="D99" s="120">
        <v>3</v>
      </c>
      <c r="E99" s="120">
        <v>70</v>
      </c>
      <c r="F99" s="120">
        <v>10500</v>
      </c>
    </row>
    <row r="100" spans="1:6" x14ac:dyDescent="0.55000000000000004">
      <c r="A100" s="118" t="s">
        <v>253</v>
      </c>
      <c r="B100" s="119" t="s">
        <v>253</v>
      </c>
      <c r="C100" s="120" t="s">
        <v>251</v>
      </c>
      <c r="D100" s="120">
        <v>2</v>
      </c>
      <c r="E100" s="120">
        <v>20</v>
      </c>
      <c r="F100" s="120">
        <v>3000</v>
      </c>
    </row>
    <row r="101" spans="1:6" x14ac:dyDescent="0.55000000000000004">
      <c r="A101" s="118" t="s">
        <v>253</v>
      </c>
      <c r="B101" s="119" t="s">
        <v>253</v>
      </c>
      <c r="C101" s="120" t="s">
        <v>296</v>
      </c>
      <c r="D101" s="120">
        <v>19</v>
      </c>
      <c r="E101" s="120">
        <v>1003</v>
      </c>
      <c r="F101" s="120">
        <v>150450</v>
      </c>
    </row>
    <row r="102" spans="1:6" x14ac:dyDescent="0.55000000000000004">
      <c r="A102" s="118" t="s">
        <v>253</v>
      </c>
      <c r="B102" s="119" t="s">
        <v>253</v>
      </c>
      <c r="C102" s="120" t="s">
        <v>236</v>
      </c>
      <c r="D102" s="120">
        <v>23</v>
      </c>
      <c r="E102" s="120">
        <v>1496</v>
      </c>
      <c r="F102" s="120">
        <v>224400</v>
      </c>
    </row>
    <row r="103" spans="1:6" x14ac:dyDescent="0.55000000000000004">
      <c r="A103" s="118" t="s">
        <v>253</v>
      </c>
      <c r="B103" s="119" t="s">
        <v>253</v>
      </c>
      <c r="C103" s="120" t="s">
        <v>297</v>
      </c>
      <c r="D103" s="120">
        <v>286</v>
      </c>
      <c r="E103" s="120">
        <v>17659</v>
      </c>
      <c r="F103" s="120">
        <v>2648850</v>
      </c>
    </row>
    <row r="104" spans="1:6" x14ac:dyDescent="0.55000000000000004">
      <c r="A104" s="118" t="s">
        <v>253</v>
      </c>
      <c r="B104" s="119" t="s">
        <v>253</v>
      </c>
      <c r="C104" s="120" t="s">
        <v>298</v>
      </c>
      <c r="D104" s="120">
        <v>1</v>
      </c>
      <c r="E104" s="120">
        <v>40</v>
      </c>
      <c r="F104" s="120">
        <v>6000</v>
      </c>
    </row>
    <row r="105" spans="1:6" x14ac:dyDescent="0.55000000000000004">
      <c r="A105" s="118" t="s">
        <v>253</v>
      </c>
      <c r="B105" s="119" t="s">
        <v>253</v>
      </c>
      <c r="C105" s="120" t="s">
        <v>283</v>
      </c>
      <c r="D105" s="120">
        <v>30</v>
      </c>
      <c r="E105" s="120">
        <v>1660</v>
      </c>
      <c r="F105" s="120">
        <v>249000</v>
      </c>
    </row>
    <row r="106" spans="1:6" x14ac:dyDescent="0.55000000000000004">
      <c r="A106" s="118" t="s">
        <v>253</v>
      </c>
      <c r="B106" s="119" t="s">
        <v>253</v>
      </c>
      <c r="C106" s="120" t="s">
        <v>269</v>
      </c>
      <c r="D106" s="120">
        <v>30</v>
      </c>
      <c r="E106" s="120">
        <v>1438</v>
      </c>
      <c r="F106" s="120">
        <v>215700</v>
      </c>
    </row>
    <row r="107" spans="1:6" x14ac:dyDescent="0.55000000000000004">
      <c r="A107" s="118" t="s">
        <v>253</v>
      </c>
      <c r="B107" s="119" t="s">
        <v>253</v>
      </c>
      <c r="C107" s="120" t="s">
        <v>299</v>
      </c>
      <c r="D107" s="120">
        <v>1</v>
      </c>
      <c r="E107" s="120">
        <v>63</v>
      </c>
      <c r="F107" s="120">
        <v>9450</v>
      </c>
    </row>
    <row r="108" spans="1:6" x14ac:dyDescent="0.55000000000000004">
      <c r="A108" s="118" t="s">
        <v>253</v>
      </c>
      <c r="B108" s="119" t="s">
        <v>253</v>
      </c>
      <c r="C108" s="120" t="s">
        <v>300</v>
      </c>
      <c r="D108" s="120">
        <v>7</v>
      </c>
      <c r="E108" s="120">
        <v>132</v>
      </c>
      <c r="F108" s="120">
        <v>19800</v>
      </c>
    </row>
    <row r="109" spans="1:6" x14ac:dyDescent="0.55000000000000004">
      <c r="A109" s="118" t="s">
        <v>253</v>
      </c>
      <c r="B109" s="119" t="s">
        <v>253</v>
      </c>
      <c r="C109" s="120" t="s">
        <v>301</v>
      </c>
      <c r="D109" s="120">
        <v>23</v>
      </c>
      <c r="E109" s="120">
        <v>990</v>
      </c>
      <c r="F109" s="120">
        <v>148500</v>
      </c>
    </row>
    <row r="110" spans="1:6" x14ac:dyDescent="0.55000000000000004">
      <c r="A110" s="118" t="s">
        <v>253</v>
      </c>
      <c r="B110" s="119" t="s">
        <v>253</v>
      </c>
      <c r="C110" s="120" t="s">
        <v>302</v>
      </c>
      <c r="D110" s="120">
        <v>10</v>
      </c>
      <c r="E110" s="120">
        <v>448</v>
      </c>
      <c r="F110" s="120">
        <v>67200</v>
      </c>
    </row>
    <row r="111" spans="1:6" x14ac:dyDescent="0.55000000000000004">
      <c r="A111" s="118" t="s">
        <v>253</v>
      </c>
      <c r="B111" s="119" t="s">
        <v>253</v>
      </c>
      <c r="C111" s="120" t="s">
        <v>285</v>
      </c>
      <c r="D111" s="120">
        <v>16</v>
      </c>
      <c r="E111" s="120">
        <v>830</v>
      </c>
      <c r="F111" s="120">
        <v>124500</v>
      </c>
    </row>
    <row r="112" spans="1:6" x14ac:dyDescent="0.55000000000000004">
      <c r="A112" s="118" t="s">
        <v>253</v>
      </c>
      <c r="B112" s="119" t="s">
        <v>253</v>
      </c>
      <c r="C112" s="120" t="s">
        <v>303</v>
      </c>
      <c r="D112" s="120">
        <v>1</v>
      </c>
      <c r="E112" s="120">
        <v>67</v>
      </c>
      <c r="F112" s="120">
        <v>10050</v>
      </c>
    </row>
    <row r="113" spans="1:6" ht="20.25" x14ac:dyDescent="0.55000000000000004">
      <c r="A113" s="2725" t="s">
        <v>304</v>
      </c>
      <c r="B113" s="2725"/>
      <c r="C113" s="2725"/>
      <c r="D113" s="121">
        <v>1349</v>
      </c>
      <c r="E113" s="121">
        <v>55745</v>
      </c>
      <c r="F113" s="121">
        <v>8361750</v>
      </c>
    </row>
    <row r="114" spans="1:6" x14ac:dyDescent="0.55000000000000004">
      <c r="A114" s="118" t="s">
        <v>253</v>
      </c>
      <c r="B114" s="119" t="s">
        <v>244</v>
      </c>
      <c r="C114" s="120" t="s">
        <v>262</v>
      </c>
      <c r="D114" s="120">
        <v>1</v>
      </c>
      <c r="E114" s="120">
        <v>52</v>
      </c>
      <c r="F114" s="120">
        <v>104712</v>
      </c>
    </row>
    <row r="115" spans="1:6" x14ac:dyDescent="0.55000000000000004">
      <c r="A115" s="118" t="s">
        <v>253</v>
      </c>
      <c r="B115" s="119" t="s">
        <v>244</v>
      </c>
      <c r="C115" s="120" t="s">
        <v>236</v>
      </c>
      <c r="D115" s="120">
        <v>2</v>
      </c>
      <c r="E115" s="120">
        <v>102</v>
      </c>
      <c r="F115" s="120">
        <v>206150</v>
      </c>
    </row>
    <row r="116" spans="1:6" x14ac:dyDescent="0.55000000000000004">
      <c r="A116" s="118" t="s">
        <v>253</v>
      </c>
      <c r="B116" s="119" t="s">
        <v>244</v>
      </c>
      <c r="C116" s="120" t="s">
        <v>283</v>
      </c>
      <c r="D116" s="120">
        <v>25</v>
      </c>
      <c r="E116" s="120">
        <v>1270</v>
      </c>
      <c r="F116" s="120">
        <v>2568031</v>
      </c>
    </row>
    <row r="117" spans="1:6" ht="20.25" x14ac:dyDescent="0.55000000000000004">
      <c r="A117" s="2725" t="s">
        <v>305</v>
      </c>
      <c r="B117" s="2725"/>
      <c r="C117" s="2725"/>
      <c r="D117" s="121">
        <v>28</v>
      </c>
      <c r="E117" s="121">
        <v>1424</v>
      </c>
      <c r="F117" s="121">
        <v>2878893</v>
      </c>
    </row>
    <row r="118" spans="1:6" x14ac:dyDescent="0.55000000000000004">
      <c r="A118" s="118" t="s">
        <v>253</v>
      </c>
      <c r="B118" s="119" t="s">
        <v>97</v>
      </c>
      <c r="C118" s="120" t="s">
        <v>232</v>
      </c>
      <c r="D118" s="120">
        <v>1</v>
      </c>
      <c r="E118" s="120">
        <v>64</v>
      </c>
      <c r="F118" s="120">
        <v>83995</v>
      </c>
    </row>
    <row r="119" spans="1:6" ht="20.25" x14ac:dyDescent="0.55000000000000004">
      <c r="A119" s="2725" t="s">
        <v>306</v>
      </c>
      <c r="B119" s="2725"/>
      <c r="C119" s="2725"/>
      <c r="D119" s="121">
        <v>1</v>
      </c>
      <c r="E119" s="121">
        <v>64</v>
      </c>
      <c r="F119" s="121">
        <v>83995</v>
      </c>
    </row>
    <row r="120" spans="1:6" x14ac:dyDescent="0.55000000000000004">
      <c r="A120" s="118" t="s">
        <v>253</v>
      </c>
      <c r="B120" s="119" t="s">
        <v>307</v>
      </c>
      <c r="C120" s="120" t="s">
        <v>236</v>
      </c>
      <c r="D120" s="120">
        <v>10</v>
      </c>
      <c r="E120" s="120">
        <v>640</v>
      </c>
      <c r="F120" s="120">
        <v>752115</v>
      </c>
    </row>
    <row r="121" spans="1:6" ht="20.25" x14ac:dyDescent="0.55000000000000004">
      <c r="A121" s="2725" t="s">
        <v>308</v>
      </c>
      <c r="B121" s="2725"/>
      <c r="C121" s="2725"/>
      <c r="D121" s="121">
        <v>10</v>
      </c>
      <c r="E121" s="121">
        <v>640</v>
      </c>
      <c r="F121" s="121">
        <v>752115</v>
      </c>
    </row>
    <row r="122" spans="1:6" x14ac:dyDescent="0.55000000000000004">
      <c r="A122" s="118" t="s">
        <v>253</v>
      </c>
      <c r="B122" s="119" t="s">
        <v>309</v>
      </c>
      <c r="C122" s="120" t="s">
        <v>283</v>
      </c>
      <c r="D122" s="120">
        <v>105</v>
      </c>
      <c r="E122" s="120">
        <v>6753</v>
      </c>
      <c r="F122" s="120">
        <v>12070711</v>
      </c>
    </row>
    <row r="123" spans="1:6" ht="20.25" x14ac:dyDescent="0.55000000000000004">
      <c r="A123" s="2725" t="s">
        <v>310</v>
      </c>
      <c r="B123" s="2725"/>
      <c r="C123" s="2725"/>
      <c r="D123" s="121">
        <v>105</v>
      </c>
      <c r="E123" s="121">
        <v>6753</v>
      </c>
      <c r="F123" s="121">
        <v>12070711</v>
      </c>
    </row>
    <row r="124" spans="1:6" x14ac:dyDescent="0.55000000000000004">
      <c r="A124" s="118" t="s">
        <v>253</v>
      </c>
      <c r="B124" s="119" t="s">
        <v>278</v>
      </c>
      <c r="C124" s="120" t="s">
        <v>258</v>
      </c>
      <c r="D124" s="120">
        <v>2082</v>
      </c>
      <c r="E124" s="120">
        <v>121270</v>
      </c>
      <c r="F124" s="120">
        <v>19223841</v>
      </c>
    </row>
    <row r="125" spans="1:6" x14ac:dyDescent="0.55000000000000004">
      <c r="A125" s="118" t="s">
        <v>253</v>
      </c>
      <c r="B125" s="119" t="s">
        <v>278</v>
      </c>
      <c r="C125" s="120" t="s">
        <v>311</v>
      </c>
      <c r="D125" s="120">
        <v>3</v>
      </c>
      <c r="E125" s="120">
        <v>192</v>
      </c>
      <c r="F125" s="120">
        <v>30436</v>
      </c>
    </row>
    <row r="126" spans="1:6" x14ac:dyDescent="0.55000000000000004">
      <c r="A126" s="118" t="s">
        <v>253</v>
      </c>
      <c r="B126" s="119" t="s">
        <v>278</v>
      </c>
      <c r="C126" s="120" t="s">
        <v>251</v>
      </c>
      <c r="D126" s="120">
        <v>61</v>
      </c>
      <c r="E126" s="120">
        <v>610</v>
      </c>
      <c r="F126" s="120">
        <v>96698</v>
      </c>
    </row>
    <row r="127" spans="1:6" x14ac:dyDescent="0.55000000000000004">
      <c r="A127" s="118" t="s">
        <v>253</v>
      </c>
      <c r="B127" s="119" t="s">
        <v>278</v>
      </c>
      <c r="C127" s="120" t="s">
        <v>236</v>
      </c>
      <c r="D127" s="120">
        <v>2</v>
      </c>
      <c r="E127" s="120">
        <v>128</v>
      </c>
      <c r="F127" s="120">
        <v>20291</v>
      </c>
    </row>
    <row r="128" spans="1:6" x14ac:dyDescent="0.55000000000000004">
      <c r="A128" s="118" t="s">
        <v>253</v>
      </c>
      <c r="B128" s="119" t="s">
        <v>278</v>
      </c>
      <c r="C128" s="120" t="s">
        <v>297</v>
      </c>
      <c r="D128" s="120">
        <v>200</v>
      </c>
      <c r="E128" s="120">
        <v>12657</v>
      </c>
      <c r="F128" s="120">
        <v>2006400</v>
      </c>
    </row>
    <row r="129" spans="1:6" ht="20.25" x14ac:dyDescent="0.55000000000000004">
      <c r="A129" s="2725" t="s">
        <v>312</v>
      </c>
      <c r="B129" s="2725"/>
      <c r="C129" s="2725"/>
      <c r="D129" s="121">
        <v>2348</v>
      </c>
      <c r="E129" s="121">
        <v>134857</v>
      </c>
      <c r="F129" s="121">
        <v>21377666</v>
      </c>
    </row>
    <row r="130" spans="1:6" x14ac:dyDescent="0.55000000000000004">
      <c r="A130" s="118" t="s">
        <v>253</v>
      </c>
      <c r="B130" s="119" t="s">
        <v>313</v>
      </c>
      <c r="C130" s="120" t="s">
        <v>232</v>
      </c>
      <c r="D130" s="120">
        <v>10</v>
      </c>
      <c r="E130" s="120">
        <v>641</v>
      </c>
      <c r="F130" s="120">
        <v>105951</v>
      </c>
    </row>
    <row r="131" spans="1:6" ht="20.25" x14ac:dyDescent="0.55000000000000004">
      <c r="A131" s="2725" t="s">
        <v>314</v>
      </c>
      <c r="B131" s="2725"/>
      <c r="C131" s="2725"/>
      <c r="D131" s="121">
        <v>10</v>
      </c>
      <c r="E131" s="121">
        <v>641</v>
      </c>
      <c r="F131" s="121">
        <v>105951</v>
      </c>
    </row>
    <row r="132" spans="1:6" x14ac:dyDescent="0.55000000000000004">
      <c r="A132" s="118" t="s">
        <v>253</v>
      </c>
      <c r="B132" s="119" t="s">
        <v>315</v>
      </c>
      <c r="C132" s="120" t="s">
        <v>316</v>
      </c>
      <c r="D132" s="120">
        <v>10</v>
      </c>
      <c r="E132" s="120">
        <v>676</v>
      </c>
      <c r="F132" s="120">
        <v>108512</v>
      </c>
    </row>
    <row r="133" spans="1:6" ht="20.25" x14ac:dyDescent="0.55000000000000004">
      <c r="A133" s="2725" t="s">
        <v>317</v>
      </c>
      <c r="B133" s="2725"/>
      <c r="C133" s="2725"/>
      <c r="D133" s="121">
        <v>10</v>
      </c>
      <c r="E133" s="121">
        <v>676</v>
      </c>
      <c r="F133" s="121">
        <v>108512</v>
      </c>
    </row>
    <row r="134" spans="1:6" ht="20.25" x14ac:dyDescent="0.55000000000000004">
      <c r="A134" s="2726" t="s">
        <v>318</v>
      </c>
      <c r="B134" s="2726"/>
      <c r="C134" s="2726"/>
      <c r="D134" s="122">
        <v>28926</v>
      </c>
      <c r="E134" s="122">
        <v>1798379</v>
      </c>
      <c r="F134" s="122">
        <v>2629334394</v>
      </c>
    </row>
    <row r="135" spans="1:6" x14ac:dyDescent="0.55000000000000004">
      <c r="A135" s="118" t="s">
        <v>244</v>
      </c>
      <c r="B135" s="119" t="s">
        <v>227</v>
      </c>
      <c r="C135" s="120" t="s">
        <v>319</v>
      </c>
      <c r="D135" s="120">
        <v>104</v>
      </c>
      <c r="E135" s="120">
        <v>3793</v>
      </c>
      <c r="F135" s="120">
        <v>5919947</v>
      </c>
    </row>
    <row r="136" spans="1:6" x14ac:dyDescent="0.55000000000000004">
      <c r="A136" s="118" t="s">
        <v>244</v>
      </c>
      <c r="B136" s="119" t="s">
        <v>227</v>
      </c>
      <c r="C136" s="120" t="s">
        <v>320</v>
      </c>
      <c r="D136" s="120">
        <v>94</v>
      </c>
      <c r="E136" s="120">
        <v>1572</v>
      </c>
      <c r="F136" s="120">
        <v>2442583</v>
      </c>
    </row>
    <row r="137" spans="1:6" x14ac:dyDescent="0.55000000000000004">
      <c r="A137" s="118" t="s">
        <v>244</v>
      </c>
      <c r="B137" s="119" t="s">
        <v>227</v>
      </c>
      <c r="C137" s="120" t="s">
        <v>321</v>
      </c>
      <c r="D137" s="120">
        <v>12</v>
      </c>
      <c r="E137" s="120">
        <v>211</v>
      </c>
      <c r="F137" s="120">
        <v>329320</v>
      </c>
    </row>
    <row r="138" spans="1:6" x14ac:dyDescent="0.55000000000000004">
      <c r="A138" s="118" t="s">
        <v>244</v>
      </c>
      <c r="B138" s="119" t="s">
        <v>227</v>
      </c>
      <c r="C138" s="120" t="s">
        <v>232</v>
      </c>
      <c r="D138" s="120">
        <v>30</v>
      </c>
      <c r="E138" s="120">
        <v>1314</v>
      </c>
      <c r="F138" s="120">
        <v>2050833</v>
      </c>
    </row>
    <row r="139" spans="1:6" x14ac:dyDescent="0.55000000000000004">
      <c r="A139" s="118" t="s">
        <v>244</v>
      </c>
      <c r="B139" s="119" t="s">
        <v>227</v>
      </c>
      <c r="C139" s="120" t="s">
        <v>294</v>
      </c>
      <c r="D139" s="120">
        <v>1</v>
      </c>
      <c r="E139" s="120">
        <v>50</v>
      </c>
      <c r="F139" s="120">
        <v>78038</v>
      </c>
    </row>
    <row r="140" spans="1:6" x14ac:dyDescent="0.55000000000000004">
      <c r="A140" s="118" t="s">
        <v>244</v>
      </c>
      <c r="B140" s="119" t="s">
        <v>227</v>
      </c>
      <c r="C140" s="120" t="s">
        <v>322</v>
      </c>
      <c r="D140" s="120">
        <v>52</v>
      </c>
      <c r="E140" s="120">
        <v>2515</v>
      </c>
      <c r="F140" s="120">
        <v>3925301</v>
      </c>
    </row>
    <row r="141" spans="1:6" x14ac:dyDescent="0.55000000000000004">
      <c r="A141" s="118" t="s">
        <v>244</v>
      </c>
      <c r="B141" s="119" t="s">
        <v>227</v>
      </c>
      <c r="C141" s="120" t="s">
        <v>267</v>
      </c>
      <c r="D141" s="120">
        <v>1</v>
      </c>
      <c r="E141" s="120">
        <v>28</v>
      </c>
      <c r="F141" s="120">
        <v>43701</v>
      </c>
    </row>
    <row r="142" spans="1:6" x14ac:dyDescent="0.55000000000000004">
      <c r="A142" s="118" t="s">
        <v>244</v>
      </c>
      <c r="B142" s="119" t="s">
        <v>227</v>
      </c>
      <c r="C142" s="120" t="s">
        <v>235</v>
      </c>
      <c r="D142" s="120">
        <v>10</v>
      </c>
      <c r="E142" s="120">
        <v>350</v>
      </c>
      <c r="F142" s="120">
        <v>546265</v>
      </c>
    </row>
    <row r="143" spans="1:6" x14ac:dyDescent="0.55000000000000004">
      <c r="A143" s="118" t="s">
        <v>244</v>
      </c>
      <c r="B143" s="119" t="s">
        <v>227</v>
      </c>
      <c r="C143" s="120" t="s">
        <v>296</v>
      </c>
      <c r="D143" s="120">
        <v>115</v>
      </c>
      <c r="E143" s="120">
        <v>4488</v>
      </c>
      <c r="F143" s="120">
        <v>7004673</v>
      </c>
    </row>
    <row r="144" spans="1:6" x14ac:dyDescent="0.55000000000000004">
      <c r="A144" s="118" t="s">
        <v>244</v>
      </c>
      <c r="B144" s="119" t="s">
        <v>227</v>
      </c>
      <c r="C144" s="120" t="s">
        <v>236</v>
      </c>
      <c r="D144" s="120">
        <v>9</v>
      </c>
      <c r="E144" s="120">
        <v>364</v>
      </c>
      <c r="F144" s="120">
        <v>568115</v>
      </c>
    </row>
    <row r="145" spans="1:6" x14ac:dyDescent="0.55000000000000004">
      <c r="A145" s="118" t="s">
        <v>244</v>
      </c>
      <c r="B145" s="119" t="s">
        <v>227</v>
      </c>
      <c r="C145" s="120" t="s">
        <v>323</v>
      </c>
      <c r="D145" s="120">
        <v>9</v>
      </c>
      <c r="E145" s="120">
        <v>328</v>
      </c>
      <c r="F145" s="120">
        <v>511928</v>
      </c>
    </row>
    <row r="146" spans="1:6" x14ac:dyDescent="0.55000000000000004">
      <c r="A146" s="118" t="s">
        <v>244</v>
      </c>
      <c r="B146" s="119" t="s">
        <v>227</v>
      </c>
      <c r="C146" s="120" t="s">
        <v>324</v>
      </c>
      <c r="D146" s="120">
        <v>2</v>
      </c>
      <c r="E146" s="120">
        <v>101</v>
      </c>
      <c r="F146" s="120">
        <v>157636</v>
      </c>
    </row>
    <row r="147" spans="1:6" x14ac:dyDescent="0.55000000000000004">
      <c r="A147" s="118" t="s">
        <v>244</v>
      </c>
      <c r="B147" s="119" t="s">
        <v>227</v>
      </c>
      <c r="C147" s="120" t="s">
        <v>325</v>
      </c>
      <c r="D147" s="120">
        <v>9</v>
      </c>
      <c r="E147" s="120">
        <v>458</v>
      </c>
      <c r="F147" s="120">
        <v>714826</v>
      </c>
    </row>
    <row r="148" spans="1:6" ht="20.25" x14ac:dyDescent="0.55000000000000004">
      <c r="A148" s="2725" t="s">
        <v>326</v>
      </c>
      <c r="B148" s="2725"/>
      <c r="C148" s="2725"/>
      <c r="D148" s="121">
        <v>448</v>
      </c>
      <c r="E148" s="121">
        <v>15572</v>
      </c>
      <c r="F148" s="121">
        <v>24293166</v>
      </c>
    </row>
    <row r="149" spans="1:6" x14ac:dyDescent="0.55000000000000004">
      <c r="A149" s="118" t="s">
        <v>244</v>
      </c>
      <c r="B149" s="119" t="s">
        <v>253</v>
      </c>
      <c r="C149" s="120" t="s">
        <v>327</v>
      </c>
      <c r="D149" s="120">
        <v>1</v>
      </c>
      <c r="E149" s="120">
        <v>14</v>
      </c>
      <c r="F149" s="120">
        <v>28486</v>
      </c>
    </row>
    <row r="150" spans="1:6" x14ac:dyDescent="0.55000000000000004">
      <c r="A150" s="118" t="s">
        <v>244</v>
      </c>
      <c r="B150" s="119" t="s">
        <v>253</v>
      </c>
      <c r="C150" s="120" t="s">
        <v>228</v>
      </c>
      <c r="D150" s="120">
        <v>15</v>
      </c>
      <c r="E150" s="120">
        <v>688</v>
      </c>
      <c r="F150" s="120">
        <v>1399865</v>
      </c>
    </row>
    <row r="151" spans="1:6" x14ac:dyDescent="0.55000000000000004">
      <c r="A151" s="118" t="s">
        <v>244</v>
      </c>
      <c r="B151" s="119" t="s">
        <v>253</v>
      </c>
      <c r="C151" s="120" t="s">
        <v>328</v>
      </c>
      <c r="D151" s="120">
        <v>4</v>
      </c>
      <c r="E151" s="120">
        <v>205</v>
      </c>
      <c r="F151" s="120">
        <v>417111</v>
      </c>
    </row>
    <row r="152" spans="1:6" x14ac:dyDescent="0.55000000000000004">
      <c r="A152" s="118" t="s">
        <v>244</v>
      </c>
      <c r="B152" s="119" t="s">
        <v>253</v>
      </c>
      <c r="C152" s="120" t="s">
        <v>329</v>
      </c>
      <c r="D152" s="120">
        <v>22</v>
      </c>
      <c r="E152" s="120">
        <v>1101</v>
      </c>
      <c r="F152" s="120">
        <v>2240191</v>
      </c>
    </row>
    <row r="153" spans="1:6" x14ac:dyDescent="0.55000000000000004">
      <c r="A153" s="118" t="s">
        <v>244</v>
      </c>
      <c r="B153" s="119" t="s">
        <v>253</v>
      </c>
      <c r="C153" s="120" t="s">
        <v>258</v>
      </c>
      <c r="D153" s="120">
        <v>1</v>
      </c>
      <c r="E153" s="120">
        <v>21</v>
      </c>
      <c r="F153" s="120">
        <v>42728</v>
      </c>
    </row>
    <row r="154" spans="1:6" x14ac:dyDescent="0.55000000000000004">
      <c r="A154" s="118" t="s">
        <v>244</v>
      </c>
      <c r="B154" s="119" t="s">
        <v>253</v>
      </c>
      <c r="C154" s="120" t="s">
        <v>230</v>
      </c>
      <c r="D154" s="120">
        <v>4</v>
      </c>
      <c r="E154" s="120">
        <v>140</v>
      </c>
      <c r="F154" s="120">
        <v>284856</v>
      </c>
    </row>
    <row r="155" spans="1:6" x14ac:dyDescent="0.55000000000000004">
      <c r="A155" s="118" t="s">
        <v>244</v>
      </c>
      <c r="B155" s="119" t="s">
        <v>253</v>
      </c>
      <c r="C155" s="120" t="s">
        <v>330</v>
      </c>
      <c r="D155" s="120">
        <v>5</v>
      </c>
      <c r="E155" s="120">
        <v>119</v>
      </c>
      <c r="F155" s="120">
        <v>242128</v>
      </c>
    </row>
    <row r="156" spans="1:6" x14ac:dyDescent="0.55000000000000004">
      <c r="A156" s="118" t="s">
        <v>244</v>
      </c>
      <c r="B156" s="119" t="s">
        <v>253</v>
      </c>
      <c r="C156" s="120" t="s">
        <v>331</v>
      </c>
      <c r="D156" s="120">
        <v>1</v>
      </c>
      <c r="E156" s="120">
        <v>14</v>
      </c>
      <c r="F156" s="120">
        <v>28486</v>
      </c>
    </row>
    <row r="157" spans="1:6" x14ac:dyDescent="0.55000000000000004">
      <c r="A157" s="118" t="s">
        <v>244</v>
      </c>
      <c r="B157" s="119" t="s">
        <v>253</v>
      </c>
      <c r="C157" s="120" t="s">
        <v>332</v>
      </c>
      <c r="D157" s="120">
        <v>1</v>
      </c>
      <c r="E157" s="120">
        <v>51</v>
      </c>
      <c r="F157" s="120">
        <v>103769</v>
      </c>
    </row>
    <row r="158" spans="1:6" x14ac:dyDescent="0.55000000000000004">
      <c r="A158" s="118" t="s">
        <v>244</v>
      </c>
      <c r="B158" s="119" t="s">
        <v>253</v>
      </c>
      <c r="C158" s="120" t="s">
        <v>321</v>
      </c>
      <c r="D158" s="120">
        <v>4</v>
      </c>
      <c r="E158" s="120">
        <v>121</v>
      </c>
      <c r="F158" s="120">
        <v>246197</v>
      </c>
    </row>
    <row r="159" spans="1:6" x14ac:dyDescent="0.55000000000000004">
      <c r="A159" s="118" t="s">
        <v>244</v>
      </c>
      <c r="B159" s="119" t="s">
        <v>253</v>
      </c>
      <c r="C159" s="120" t="s">
        <v>291</v>
      </c>
      <c r="D159" s="120">
        <v>872</v>
      </c>
      <c r="E159" s="120">
        <v>38342</v>
      </c>
      <c r="F159" s="120">
        <v>78014007</v>
      </c>
    </row>
    <row r="160" spans="1:6" x14ac:dyDescent="0.55000000000000004">
      <c r="A160" s="118" t="s">
        <v>244</v>
      </c>
      <c r="B160" s="119" t="s">
        <v>253</v>
      </c>
      <c r="C160" s="120" t="s">
        <v>263</v>
      </c>
      <c r="D160" s="120">
        <v>4</v>
      </c>
      <c r="E160" s="120">
        <v>211</v>
      </c>
      <c r="F160" s="120">
        <v>429319</v>
      </c>
    </row>
    <row r="161" spans="1:6" x14ac:dyDescent="0.55000000000000004">
      <c r="A161" s="118" t="s">
        <v>244</v>
      </c>
      <c r="B161" s="119" t="s">
        <v>253</v>
      </c>
      <c r="C161" s="120" t="s">
        <v>333</v>
      </c>
      <c r="D161" s="120">
        <v>22</v>
      </c>
      <c r="E161" s="120">
        <v>1054</v>
      </c>
      <c r="F161" s="120">
        <v>2144561</v>
      </c>
    </row>
    <row r="162" spans="1:6" x14ac:dyDescent="0.55000000000000004">
      <c r="A162" s="118" t="s">
        <v>244</v>
      </c>
      <c r="B162" s="119" t="s">
        <v>253</v>
      </c>
      <c r="C162" s="120" t="s">
        <v>232</v>
      </c>
      <c r="D162" s="120">
        <v>5</v>
      </c>
      <c r="E162" s="120">
        <v>218</v>
      </c>
      <c r="F162" s="120">
        <v>443562</v>
      </c>
    </row>
    <row r="163" spans="1:6" x14ac:dyDescent="0.55000000000000004">
      <c r="A163" s="118" t="s">
        <v>244</v>
      </c>
      <c r="B163" s="119" t="s">
        <v>253</v>
      </c>
      <c r="C163" s="120" t="s">
        <v>334</v>
      </c>
      <c r="D163" s="120">
        <v>1</v>
      </c>
      <c r="E163" s="120">
        <v>14</v>
      </c>
      <c r="F163" s="120">
        <v>28486</v>
      </c>
    </row>
    <row r="164" spans="1:6" x14ac:dyDescent="0.55000000000000004">
      <c r="A164" s="118" t="s">
        <v>244</v>
      </c>
      <c r="B164" s="119" t="s">
        <v>253</v>
      </c>
      <c r="C164" s="120" t="s">
        <v>294</v>
      </c>
      <c r="D164" s="120">
        <v>1</v>
      </c>
      <c r="E164" s="120">
        <v>50</v>
      </c>
      <c r="F164" s="120">
        <v>101734</v>
      </c>
    </row>
    <row r="165" spans="1:6" x14ac:dyDescent="0.55000000000000004">
      <c r="A165" s="118" t="s">
        <v>244</v>
      </c>
      <c r="B165" s="119" t="s">
        <v>253</v>
      </c>
      <c r="C165" s="120" t="s">
        <v>335</v>
      </c>
      <c r="D165" s="120">
        <v>3</v>
      </c>
      <c r="E165" s="120">
        <v>131</v>
      </c>
      <c r="F165" s="120">
        <v>266544</v>
      </c>
    </row>
    <row r="166" spans="1:6" x14ac:dyDescent="0.55000000000000004">
      <c r="A166" s="118" t="s">
        <v>244</v>
      </c>
      <c r="B166" s="119" t="s">
        <v>253</v>
      </c>
      <c r="C166" s="120" t="s">
        <v>322</v>
      </c>
      <c r="D166" s="120">
        <v>22</v>
      </c>
      <c r="E166" s="120">
        <v>833</v>
      </c>
      <c r="F166" s="120">
        <v>1694895</v>
      </c>
    </row>
    <row r="167" spans="1:6" x14ac:dyDescent="0.55000000000000004">
      <c r="A167" s="118" t="s">
        <v>244</v>
      </c>
      <c r="B167" s="119" t="s">
        <v>253</v>
      </c>
      <c r="C167" s="120" t="s">
        <v>336</v>
      </c>
      <c r="D167" s="120">
        <v>1</v>
      </c>
      <c r="E167" s="120">
        <v>51</v>
      </c>
      <c r="F167" s="120">
        <v>103769</v>
      </c>
    </row>
    <row r="168" spans="1:6" x14ac:dyDescent="0.55000000000000004">
      <c r="A168" s="118" t="s">
        <v>244</v>
      </c>
      <c r="B168" s="119" t="s">
        <v>253</v>
      </c>
      <c r="C168" s="120" t="s">
        <v>337</v>
      </c>
      <c r="D168" s="120">
        <v>1</v>
      </c>
      <c r="E168" s="120">
        <v>28</v>
      </c>
      <c r="F168" s="120">
        <v>56971</v>
      </c>
    </row>
    <row r="169" spans="1:6" x14ac:dyDescent="0.55000000000000004">
      <c r="A169" s="118" t="s">
        <v>244</v>
      </c>
      <c r="B169" s="119" t="s">
        <v>253</v>
      </c>
      <c r="C169" s="120" t="s">
        <v>338</v>
      </c>
      <c r="D169" s="120">
        <v>7</v>
      </c>
      <c r="E169" s="120">
        <v>156</v>
      </c>
      <c r="F169" s="120">
        <v>317411</v>
      </c>
    </row>
    <row r="170" spans="1:6" x14ac:dyDescent="0.55000000000000004">
      <c r="A170" s="118" t="s">
        <v>244</v>
      </c>
      <c r="B170" s="119" t="s">
        <v>253</v>
      </c>
      <c r="C170" s="120" t="s">
        <v>267</v>
      </c>
      <c r="D170" s="120">
        <v>11</v>
      </c>
      <c r="E170" s="120">
        <v>189</v>
      </c>
      <c r="F170" s="120">
        <v>384556</v>
      </c>
    </row>
    <row r="171" spans="1:6" x14ac:dyDescent="0.55000000000000004">
      <c r="A171" s="118" t="s">
        <v>244</v>
      </c>
      <c r="B171" s="119" t="s">
        <v>253</v>
      </c>
      <c r="C171" s="120" t="s">
        <v>235</v>
      </c>
      <c r="D171" s="120">
        <v>1</v>
      </c>
      <c r="E171" s="120">
        <v>28</v>
      </c>
      <c r="F171" s="120">
        <v>56971</v>
      </c>
    </row>
    <row r="172" spans="1:6" x14ac:dyDescent="0.55000000000000004">
      <c r="A172" s="118" t="s">
        <v>244</v>
      </c>
      <c r="B172" s="119" t="s">
        <v>253</v>
      </c>
      <c r="C172" s="120" t="s">
        <v>296</v>
      </c>
      <c r="D172" s="120">
        <v>203</v>
      </c>
      <c r="E172" s="120">
        <v>8638</v>
      </c>
      <c r="F172" s="120">
        <v>17575635</v>
      </c>
    </row>
    <row r="173" spans="1:6" x14ac:dyDescent="0.55000000000000004">
      <c r="A173" s="118" t="s">
        <v>244</v>
      </c>
      <c r="B173" s="119" t="s">
        <v>253</v>
      </c>
      <c r="C173" s="120" t="s">
        <v>236</v>
      </c>
      <c r="D173" s="120">
        <v>81</v>
      </c>
      <c r="E173" s="120">
        <v>4040</v>
      </c>
      <c r="F173" s="120">
        <v>8220139</v>
      </c>
    </row>
    <row r="174" spans="1:6" x14ac:dyDescent="0.55000000000000004">
      <c r="A174" s="118" t="s">
        <v>244</v>
      </c>
      <c r="B174" s="119" t="s">
        <v>253</v>
      </c>
      <c r="C174" s="120" t="s">
        <v>297</v>
      </c>
      <c r="D174" s="120">
        <v>6</v>
      </c>
      <c r="E174" s="120">
        <v>223</v>
      </c>
      <c r="F174" s="120">
        <v>453735</v>
      </c>
    </row>
    <row r="175" spans="1:6" x14ac:dyDescent="0.55000000000000004">
      <c r="A175" s="118" t="s">
        <v>244</v>
      </c>
      <c r="B175" s="119" t="s">
        <v>253</v>
      </c>
      <c r="C175" s="120" t="s">
        <v>339</v>
      </c>
      <c r="D175" s="120">
        <v>139</v>
      </c>
      <c r="E175" s="120">
        <v>2119</v>
      </c>
      <c r="F175" s="120">
        <v>4311504</v>
      </c>
    </row>
    <row r="176" spans="1:6" x14ac:dyDescent="0.55000000000000004">
      <c r="A176" s="118" t="s">
        <v>244</v>
      </c>
      <c r="B176" s="119" t="s">
        <v>253</v>
      </c>
      <c r="C176" s="120" t="s">
        <v>340</v>
      </c>
      <c r="D176" s="120">
        <v>90</v>
      </c>
      <c r="E176" s="120">
        <v>1380</v>
      </c>
      <c r="F176" s="120">
        <v>2807869</v>
      </c>
    </row>
    <row r="177" spans="1:6" x14ac:dyDescent="0.55000000000000004">
      <c r="A177" s="118" t="s">
        <v>244</v>
      </c>
      <c r="B177" s="119" t="s">
        <v>253</v>
      </c>
      <c r="C177" s="120" t="s">
        <v>323</v>
      </c>
      <c r="D177" s="120">
        <v>1</v>
      </c>
      <c r="E177" s="120">
        <v>52</v>
      </c>
      <c r="F177" s="120">
        <v>105804</v>
      </c>
    </row>
    <row r="178" spans="1:6" x14ac:dyDescent="0.55000000000000004">
      <c r="A178" s="118" t="s">
        <v>244</v>
      </c>
      <c r="B178" s="119" t="s">
        <v>253</v>
      </c>
      <c r="C178" s="120" t="s">
        <v>324</v>
      </c>
      <c r="D178" s="120">
        <v>15</v>
      </c>
      <c r="E178" s="120">
        <v>740</v>
      </c>
      <c r="F178" s="120">
        <v>1505669</v>
      </c>
    </row>
    <row r="179" spans="1:6" x14ac:dyDescent="0.55000000000000004">
      <c r="A179" s="118" t="s">
        <v>244</v>
      </c>
      <c r="B179" s="119" t="s">
        <v>253</v>
      </c>
      <c r="C179" s="120" t="s">
        <v>341</v>
      </c>
      <c r="D179" s="120">
        <v>54</v>
      </c>
      <c r="E179" s="120">
        <v>2443</v>
      </c>
      <c r="F179" s="120">
        <v>4970743</v>
      </c>
    </row>
    <row r="180" spans="1:6" x14ac:dyDescent="0.55000000000000004">
      <c r="A180" s="118" t="s">
        <v>244</v>
      </c>
      <c r="B180" s="119" t="s">
        <v>253</v>
      </c>
      <c r="C180" s="120" t="s">
        <v>342</v>
      </c>
      <c r="D180" s="120">
        <v>1</v>
      </c>
      <c r="E180" s="120">
        <v>28</v>
      </c>
      <c r="F180" s="120">
        <v>56971</v>
      </c>
    </row>
    <row r="181" spans="1:6" ht="20.25" x14ac:dyDescent="0.55000000000000004">
      <c r="A181" s="2725" t="s">
        <v>343</v>
      </c>
      <c r="B181" s="2725"/>
      <c r="C181" s="2725"/>
      <c r="D181" s="121">
        <v>1599</v>
      </c>
      <c r="E181" s="121">
        <v>63442</v>
      </c>
      <c r="F181" s="121">
        <v>129084672</v>
      </c>
    </row>
    <row r="182" spans="1:6" x14ac:dyDescent="0.55000000000000004">
      <c r="A182" s="118" t="s">
        <v>244</v>
      </c>
      <c r="B182" s="119" t="s">
        <v>274</v>
      </c>
      <c r="C182" s="120" t="s">
        <v>232</v>
      </c>
      <c r="D182" s="120">
        <v>48</v>
      </c>
      <c r="E182" s="120">
        <v>1296</v>
      </c>
      <c r="F182" s="120">
        <v>1809156</v>
      </c>
    </row>
    <row r="183" spans="1:6" x14ac:dyDescent="0.55000000000000004">
      <c r="A183" s="118" t="s">
        <v>244</v>
      </c>
      <c r="B183" s="119" t="s">
        <v>274</v>
      </c>
      <c r="C183" s="120" t="s">
        <v>296</v>
      </c>
      <c r="D183" s="120">
        <v>1</v>
      </c>
      <c r="E183" s="120">
        <v>28</v>
      </c>
      <c r="F183" s="120">
        <v>39087</v>
      </c>
    </row>
    <row r="184" spans="1:6" x14ac:dyDescent="0.55000000000000004">
      <c r="A184" s="118" t="s">
        <v>244</v>
      </c>
      <c r="B184" s="119" t="s">
        <v>274</v>
      </c>
      <c r="C184" s="120" t="s">
        <v>340</v>
      </c>
      <c r="D184" s="120">
        <v>9</v>
      </c>
      <c r="E184" s="120">
        <v>243</v>
      </c>
      <c r="F184" s="120">
        <v>339217</v>
      </c>
    </row>
    <row r="185" spans="1:6" ht="20.25" x14ac:dyDescent="0.55000000000000004">
      <c r="A185" s="2725" t="s">
        <v>344</v>
      </c>
      <c r="B185" s="2725"/>
      <c r="C185" s="2725"/>
      <c r="D185" s="121">
        <v>58</v>
      </c>
      <c r="E185" s="121">
        <v>1567</v>
      </c>
      <c r="F185" s="121">
        <v>2187460</v>
      </c>
    </row>
    <row r="186" spans="1:6" x14ac:dyDescent="0.55000000000000004">
      <c r="A186" s="118" t="s">
        <v>244</v>
      </c>
      <c r="B186" s="119" t="s">
        <v>345</v>
      </c>
      <c r="C186" s="120" t="s">
        <v>346</v>
      </c>
      <c r="D186" s="120">
        <v>1</v>
      </c>
      <c r="E186" s="120">
        <v>18</v>
      </c>
      <c r="F186" s="120">
        <v>4379</v>
      </c>
    </row>
    <row r="187" spans="1:6" ht="20.25" x14ac:dyDescent="0.55000000000000004">
      <c r="A187" s="2725" t="s">
        <v>347</v>
      </c>
      <c r="B187" s="2725"/>
      <c r="C187" s="2725"/>
      <c r="D187" s="121">
        <v>1</v>
      </c>
      <c r="E187" s="121">
        <v>18</v>
      </c>
      <c r="F187" s="121">
        <v>4379</v>
      </c>
    </row>
    <row r="188" spans="1:6" x14ac:dyDescent="0.55000000000000004">
      <c r="A188" s="118" t="s">
        <v>244</v>
      </c>
      <c r="B188" s="119" t="s">
        <v>276</v>
      </c>
      <c r="C188" s="120" t="s">
        <v>348</v>
      </c>
      <c r="D188" s="120">
        <v>49</v>
      </c>
      <c r="E188" s="120">
        <v>2608</v>
      </c>
      <c r="F188" s="120">
        <v>5543885</v>
      </c>
    </row>
    <row r="189" spans="1:6" ht="20.25" x14ac:dyDescent="0.55000000000000004">
      <c r="A189" s="2725" t="s">
        <v>349</v>
      </c>
      <c r="B189" s="2725"/>
      <c r="C189" s="2725"/>
      <c r="D189" s="121">
        <v>49</v>
      </c>
      <c r="E189" s="121">
        <v>2608</v>
      </c>
      <c r="F189" s="121">
        <v>5543885</v>
      </c>
    </row>
    <row r="190" spans="1:6" x14ac:dyDescent="0.55000000000000004">
      <c r="A190" s="118" t="s">
        <v>244</v>
      </c>
      <c r="B190" s="119" t="s">
        <v>246</v>
      </c>
      <c r="C190" s="120" t="s">
        <v>350</v>
      </c>
      <c r="D190" s="120">
        <v>2</v>
      </c>
      <c r="E190" s="120">
        <v>28</v>
      </c>
      <c r="F190" s="120">
        <v>9157</v>
      </c>
    </row>
    <row r="191" spans="1:6" x14ac:dyDescent="0.55000000000000004">
      <c r="A191" s="118" t="s">
        <v>244</v>
      </c>
      <c r="B191" s="119" t="s">
        <v>246</v>
      </c>
      <c r="C191" s="120" t="s">
        <v>290</v>
      </c>
      <c r="D191" s="120">
        <v>1</v>
      </c>
      <c r="E191" s="120">
        <v>28</v>
      </c>
      <c r="F191" s="120">
        <v>9157</v>
      </c>
    </row>
    <row r="192" spans="1:6" x14ac:dyDescent="0.55000000000000004">
      <c r="A192" s="118" t="s">
        <v>244</v>
      </c>
      <c r="B192" s="119" t="s">
        <v>246</v>
      </c>
      <c r="C192" s="120" t="s">
        <v>234</v>
      </c>
      <c r="D192" s="120">
        <v>2</v>
      </c>
      <c r="E192" s="120">
        <v>94</v>
      </c>
      <c r="F192" s="120">
        <v>30742</v>
      </c>
    </row>
    <row r="193" spans="1:6" x14ac:dyDescent="0.55000000000000004">
      <c r="A193" s="118" t="s">
        <v>244</v>
      </c>
      <c r="B193" s="119" t="s">
        <v>246</v>
      </c>
      <c r="C193" s="120" t="s">
        <v>236</v>
      </c>
      <c r="D193" s="120">
        <v>4</v>
      </c>
      <c r="E193" s="120">
        <v>176</v>
      </c>
      <c r="F193" s="120">
        <v>57559</v>
      </c>
    </row>
    <row r="194" spans="1:6" ht="20.25" x14ac:dyDescent="0.55000000000000004">
      <c r="A194" s="2725" t="s">
        <v>351</v>
      </c>
      <c r="B194" s="2725"/>
      <c r="C194" s="2725"/>
      <c r="D194" s="121">
        <v>9</v>
      </c>
      <c r="E194" s="121">
        <v>326</v>
      </c>
      <c r="F194" s="121">
        <v>106615</v>
      </c>
    </row>
    <row r="195" spans="1:6" x14ac:dyDescent="0.55000000000000004">
      <c r="A195" s="118" t="s">
        <v>244</v>
      </c>
      <c r="B195" s="119" t="s">
        <v>309</v>
      </c>
      <c r="C195" s="120" t="s">
        <v>290</v>
      </c>
      <c r="D195" s="120">
        <v>2</v>
      </c>
      <c r="E195" s="120">
        <v>30</v>
      </c>
      <c r="F195" s="120">
        <v>74933</v>
      </c>
    </row>
    <row r="196" spans="1:6" ht="20.25" x14ac:dyDescent="0.55000000000000004">
      <c r="A196" s="2725" t="s">
        <v>352</v>
      </c>
      <c r="B196" s="2725"/>
      <c r="C196" s="2725"/>
      <c r="D196" s="121">
        <v>2</v>
      </c>
      <c r="E196" s="121">
        <v>30</v>
      </c>
      <c r="F196" s="121">
        <v>74933</v>
      </c>
    </row>
    <row r="197" spans="1:6" x14ac:dyDescent="0.55000000000000004">
      <c r="A197" s="118" t="s">
        <v>244</v>
      </c>
      <c r="B197" s="119" t="s">
        <v>353</v>
      </c>
      <c r="C197" s="120" t="s">
        <v>257</v>
      </c>
      <c r="D197" s="120">
        <v>95</v>
      </c>
      <c r="E197" s="120">
        <v>4676</v>
      </c>
      <c r="F197" s="120">
        <v>1047878</v>
      </c>
    </row>
    <row r="198" spans="1:6" x14ac:dyDescent="0.55000000000000004">
      <c r="A198" s="118" t="s">
        <v>244</v>
      </c>
      <c r="B198" s="119" t="s">
        <v>353</v>
      </c>
      <c r="C198" s="120" t="s">
        <v>354</v>
      </c>
      <c r="D198" s="120">
        <v>88</v>
      </c>
      <c r="E198" s="120">
        <v>3955</v>
      </c>
      <c r="F198" s="120">
        <v>886304</v>
      </c>
    </row>
    <row r="199" spans="1:6" x14ac:dyDescent="0.55000000000000004">
      <c r="A199" s="118" t="s">
        <v>244</v>
      </c>
      <c r="B199" s="119" t="s">
        <v>353</v>
      </c>
      <c r="C199" s="120" t="s">
        <v>355</v>
      </c>
      <c r="D199" s="120">
        <v>3</v>
      </c>
      <c r="E199" s="120">
        <v>146</v>
      </c>
      <c r="F199" s="120">
        <v>32718</v>
      </c>
    </row>
    <row r="200" spans="1:6" x14ac:dyDescent="0.55000000000000004">
      <c r="A200" s="118" t="s">
        <v>244</v>
      </c>
      <c r="B200" s="119" t="s">
        <v>353</v>
      </c>
      <c r="C200" s="120" t="s">
        <v>233</v>
      </c>
      <c r="D200" s="120">
        <v>7</v>
      </c>
      <c r="E200" s="120">
        <v>318</v>
      </c>
      <c r="F200" s="120">
        <v>71263</v>
      </c>
    </row>
    <row r="201" spans="1:6" x14ac:dyDescent="0.55000000000000004">
      <c r="A201" s="118" t="s">
        <v>244</v>
      </c>
      <c r="B201" s="119" t="s">
        <v>353</v>
      </c>
      <c r="C201" s="120" t="s">
        <v>348</v>
      </c>
      <c r="D201" s="120">
        <v>82</v>
      </c>
      <c r="E201" s="120">
        <v>3754</v>
      </c>
      <c r="F201" s="120">
        <v>841260</v>
      </c>
    </row>
    <row r="202" spans="1:6" x14ac:dyDescent="0.55000000000000004">
      <c r="A202" s="118" t="s">
        <v>244</v>
      </c>
      <c r="B202" s="119" t="s">
        <v>353</v>
      </c>
      <c r="C202" s="120" t="s">
        <v>356</v>
      </c>
      <c r="D202" s="120">
        <v>85</v>
      </c>
      <c r="E202" s="120">
        <v>2620</v>
      </c>
      <c r="F202" s="120">
        <v>587134</v>
      </c>
    </row>
    <row r="203" spans="1:6" x14ac:dyDescent="0.55000000000000004">
      <c r="A203" s="118" t="s">
        <v>244</v>
      </c>
      <c r="B203" s="119" t="s">
        <v>353</v>
      </c>
      <c r="C203" s="120" t="s">
        <v>357</v>
      </c>
      <c r="D203" s="120">
        <v>59</v>
      </c>
      <c r="E203" s="120">
        <v>2852</v>
      </c>
      <c r="F203" s="120">
        <v>639125</v>
      </c>
    </row>
    <row r="204" spans="1:6" x14ac:dyDescent="0.55000000000000004">
      <c r="A204" s="118" t="s">
        <v>244</v>
      </c>
      <c r="B204" s="119" t="s">
        <v>353</v>
      </c>
      <c r="C204" s="120" t="s">
        <v>358</v>
      </c>
      <c r="D204" s="120">
        <v>4</v>
      </c>
      <c r="E204" s="120">
        <v>122</v>
      </c>
      <c r="F204" s="120">
        <v>27340</v>
      </c>
    </row>
    <row r="205" spans="1:6" x14ac:dyDescent="0.55000000000000004">
      <c r="A205" s="118" t="s">
        <v>244</v>
      </c>
      <c r="B205" s="119" t="s">
        <v>353</v>
      </c>
      <c r="C205" s="120" t="s">
        <v>267</v>
      </c>
      <c r="D205" s="120">
        <v>1</v>
      </c>
      <c r="E205" s="120">
        <v>49</v>
      </c>
      <c r="F205" s="120">
        <v>10981</v>
      </c>
    </row>
    <row r="206" spans="1:6" x14ac:dyDescent="0.55000000000000004">
      <c r="A206" s="118" t="s">
        <v>244</v>
      </c>
      <c r="B206" s="119" t="s">
        <v>353</v>
      </c>
      <c r="C206" s="120" t="s">
        <v>359</v>
      </c>
      <c r="D206" s="120">
        <v>4</v>
      </c>
      <c r="E206" s="120">
        <v>172</v>
      </c>
      <c r="F206" s="120">
        <v>38545</v>
      </c>
    </row>
    <row r="207" spans="1:6" x14ac:dyDescent="0.55000000000000004">
      <c r="A207" s="118" t="s">
        <v>244</v>
      </c>
      <c r="B207" s="119" t="s">
        <v>353</v>
      </c>
      <c r="C207" s="120" t="s">
        <v>360</v>
      </c>
      <c r="D207" s="120">
        <v>1</v>
      </c>
      <c r="E207" s="120">
        <v>47</v>
      </c>
      <c r="F207" s="120">
        <v>10533</v>
      </c>
    </row>
    <row r="208" spans="1:6" x14ac:dyDescent="0.55000000000000004">
      <c r="A208" s="118" t="s">
        <v>244</v>
      </c>
      <c r="B208" s="119" t="s">
        <v>353</v>
      </c>
      <c r="C208" s="120" t="s">
        <v>296</v>
      </c>
      <c r="D208" s="120">
        <v>447</v>
      </c>
      <c r="E208" s="120">
        <v>13192</v>
      </c>
      <c r="F208" s="120">
        <v>2956288</v>
      </c>
    </row>
    <row r="209" spans="1:6" x14ac:dyDescent="0.55000000000000004">
      <c r="A209" s="118" t="s">
        <v>244</v>
      </c>
      <c r="B209" s="119" t="s">
        <v>353</v>
      </c>
      <c r="C209" s="120" t="s">
        <v>269</v>
      </c>
      <c r="D209" s="120">
        <v>43</v>
      </c>
      <c r="E209" s="120">
        <v>663</v>
      </c>
      <c r="F209" s="120">
        <v>148576</v>
      </c>
    </row>
    <row r="210" spans="1:6" ht="20.25" x14ac:dyDescent="0.55000000000000004">
      <c r="A210" s="2725" t="s">
        <v>361</v>
      </c>
      <c r="B210" s="2725"/>
      <c r="C210" s="2725"/>
      <c r="D210" s="121">
        <v>919</v>
      </c>
      <c r="E210" s="121">
        <v>32566</v>
      </c>
      <c r="F210" s="121">
        <v>7297945</v>
      </c>
    </row>
    <row r="211" spans="1:6" x14ac:dyDescent="0.55000000000000004">
      <c r="A211" s="118" t="s">
        <v>244</v>
      </c>
      <c r="B211" s="119" t="s">
        <v>362</v>
      </c>
      <c r="C211" s="120" t="s">
        <v>296</v>
      </c>
      <c r="D211" s="120">
        <v>14</v>
      </c>
      <c r="E211" s="120">
        <v>511</v>
      </c>
      <c r="F211" s="120">
        <v>1044342</v>
      </c>
    </row>
    <row r="212" spans="1:6" ht="20.25" x14ac:dyDescent="0.55000000000000004">
      <c r="A212" s="2725" t="s">
        <v>363</v>
      </c>
      <c r="B212" s="2725"/>
      <c r="C212" s="2725"/>
      <c r="D212" s="121">
        <v>14</v>
      </c>
      <c r="E212" s="121">
        <v>511</v>
      </c>
      <c r="F212" s="121">
        <v>1044342</v>
      </c>
    </row>
    <row r="213" spans="1:6" x14ac:dyDescent="0.55000000000000004">
      <c r="A213" s="118" t="s">
        <v>244</v>
      </c>
      <c r="B213" s="119" t="s">
        <v>364</v>
      </c>
      <c r="C213" s="120" t="s">
        <v>340</v>
      </c>
      <c r="D213" s="120">
        <v>6</v>
      </c>
      <c r="E213" s="120">
        <v>149</v>
      </c>
      <c r="F213" s="120">
        <v>150043</v>
      </c>
    </row>
    <row r="214" spans="1:6" ht="20.25" x14ac:dyDescent="0.55000000000000004">
      <c r="A214" s="2725" t="s">
        <v>365</v>
      </c>
      <c r="B214" s="2725"/>
      <c r="C214" s="2725"/>
      <c r="D214" s="121">
        <v>6</v>
      </c>
      <c r="E214" s="121">
        <v>149</v>
      </c>
      <c r="F214" s="121">
        <v>150043</v>
      </c>
    </row>
    <row r="215" spans="1:6" ht="20.25" x14ac:dyDescent="0.55000000000000004">
      <c r="A215" s="2726" t="s">
        <v>366</v>
      </c>
      <c r="B215" s="2726"/>
      <c r="C215" s="2726"/>
      <c r="D215" s="122">
        <v>3105</v>
      </c>
      <c r="E215" s="122">
        <v>116789</v>
      </c>
      <c r="F215" s="122">
        <v>169787440</v>
      </c>
    </row>
    <row r="216" spans="1:6" x14ac:dyDescent="0.55000000000000004">
      <c r="A216" s="118" t="s">
        <v>367</v>
      </c>
      <c r="B216" s="119" t="s">
        <v>367</v>
      </c>
      <c r="C216" s="120" t="s">
        <v>319</v>
      </c>
      <c r="D216" s="120">
        <v>1676</v>
      </c>
      <c r="E216" s="120">
        <v>111408</v>
      </c>
      <c r="F216" s="120">
        <v>16711200</v>
      </c>
    </row>
    <row r="217" spans="1:6" x14ac:dyDescent="0.55000000000000004">
      <c r="A217" s="118" t="s">
        <v>367</v>
      </c>
      <c r="B217" s="119" t="s">
        <v>367</v>
      </c>
      <c r="C217" s="120" t="s">
        <v>368</v>
      </c>
      <c r="D217" s="120">
        <v>154</v>
      </c>
      <c r="E217" s="120">
        <v>10319</v>
      </c>
      <c r="F217" s="120">
        <v>1547850</v>
      </c>
    </row>
    <row r="218" spans="1:6" x14ac:dyDescent="0.55000000000000004">
      <c r="A218" s="118" t="s">
        <v>367</v>
      </c>
      <c r="B218" s="119" t="s">
        <v>367</v>
      </c>
      <c r="C218" s="120" t="s">
        <v>228</v>
      </c>
      <c r="D218" s="120">
        <v>5</v>
      </c>
      <c r="E218" s="120">
        <v>188</v>
      </c>
      <c r="F218" s="120">
        <v>28200</v>
      </c>
    </row>
    <row r="219" spans="1:6" x14ac:dyDescent="0.55000000000000004">
      <c r="A219" s="118" t="s">
        <v>367</v>
      </c>
      <c r="B219" s="119" t="s">
        <v>367</v>
      </c>
      <c r="C219" s="120" t="s">
        <v>369</v>
      </c>
      <c r="D219" s="120">
        <v>40</v>
      </c>
      <c r="E219" s="120">
        <v>2435</v>
      </c>
      <c r="F219" s="120">
        <v>365250</v>
      </c>
    </row>
    <row r="220" spans="1:6" x14ac:dyDescent="0.55000000000000004">
      <c r="A220" s="118" t="s">
        <v>367</v>
      </c>
      <c r="B220" s="119" t="s">
        <v>367</v>
      </c>
      <c r="C220" s="120" t="s">
        <v>370</v>
      </c>
      <c r="D220" s="120">
        <v>1762</v>
      </c>
      <c r="E220" s="120">
        <v>109463</v>
      </c>
      <c r="F220" s="120">
        <v>16419450</v>
      </c>
    </row>
    <row r="221" spans="1:6" x14ac:dyDescent="0.55000000000000004">
      <c r="A221" s="118" t="s">
        <v>367</v>
      </c>
      <c r="B221" s="119" t="s">
        <v>367</v>
      </c>
      <c r="C221" s="120" t="s">
        <v>371</v>
      </c>
      <c r="D221" s="120">
        <v>1</v>
      </c>
      <c r="E221" s="120">
        <v>70</v>
      </c>
      <c r="F221" s="120">
        <v>10500</v>
      </c>
    </row>
    <row r="222" spans="1:6" x14ac:dyDescent="0.55000000000000004">
      <c r="A222" s="118" t="s">
        <v>367</v>
      </c>
      <c r="B222" s="119" t="s">
        <v>367</v>
      </c>
      <c r="C222" s="120" t="s">
        <v>231</v>
      </c>
      <c r="D222" s="120">
        <v>446</v>
      </c>
      <c r="E222" s="120">
        <v>29678</v>
      </c>
      <c r="F222" s="120">
        <v>4451700</v>
      </c>
    </row>
    <row r="223" spans="1:6" x14ac:dyDescent="0.55000000000000004">
      <c r="A223" s="118" t="s">
        <v>367</v>
      </c>
      <c r="B223" s="119" t="s">
        <v>367</v>
      </c>
      <c r="C223" s="120" t="s">
        <v>291</v>
      </c>
      <c r="D223" s="120">
        <v>25</v>
      </c>
      <c r="E223" s="120">
        <v>1580</v>
      </c>
      <c r="F223" s="120">
        <v>237000</v>
      </c>
    </row>
    <row r="224" spans="1:6" x14ac:dyDescent="0.55000000000000004">
      <c r="A224" s="118" t="s">
        <v>367</v>
      </c>
      <c r="B224" s="119" t="s">
        <v>367</v>
      </c>
      <c r="C224" s="120" t="s">
        <v>372</v>
      </c>
      <c r="D224" s="120">
        <v>2</v>
      </c>
      <c r="E224" s="120">
        <v>140</v>
      </c>
      <c r="F224" s="120">
        <v>21000</v>
      </c>
    </row>
    <row r="225" spans="1:6" x14ac:dyDescent="0.55000000000000004">
      <c r="A225" s="118" t="s">
        <v>367</v>
      </c>
      <c r="B225" s="119" t="s">
        <v>367</v>
      </c>
      <c r="C225" s="120" t="s">
        <v>232</v>
      </c>
      <c r="D225" s="120">
        <v>53</v>
      </c>
      <c r="E225" s="120">
        <v>3562</v>
      </c>
      <c r="F225" s="120">
        <v>534300</v>
      </c>
    </row>
    <row r="226" spans="1:6" x14ac:dyDescent="0.55000000000000004">
      <c r="A226" s="118" t="s">
        <v>367</v>
      </c>
      <c r="B226" s="119" t="s">
        <v>367</v>
      </c>
      <c r="C226" s="120" t="s">
        <v>373</v>
      </c>
      <c r="D226" s="120">
        <v>44</v>
      </c>
      <c r="E226" s="120">
        <v>2947</v>
      </c>
      <c r="F226" s="120">
        <v>442050</v>
      </c>
    </row>
    <row r="227" spans="1:6" x14ac:dyDescent="0.55000000000000004">
      <c r="A227" s="118" t="s">
        <v>367</v>
      </c>
      <c r="B227" s="119" t="s">
        <v>367</v>
      </c>
      <c r="C227" s="120" t="s">
        <v>233</v>
      </c>
      <c r="D227" s="120">
        <v>14</v>
      </c>
      <c r="E227" s="120">
        <v>825</v>
      </c>
      <c r="F227" s="120">
        <v>123750</v>
      </c>
    </row>
    <row r="228" spans="1:6" x14ac:dyDescent="0.55000000000000004">
      <c r="A228" s="118" t="s">
        <v>367</v>
      </c>
      <c r="B228" s="119" t="s">
        <v>367</v>
      </c>
      <c r="C228" s="120" t="s">
        <v>374</v>
      </c>
      <c r="D228" s="120">
        <v>2</v>
      </c>
      <c r="E228" s="120">
        <v>130</v>
      </c>
      <c r="F228" s="120">
        <v>19500</v>
      </c>
    </row>
    <row r="229" spans="1:6" x14ac:dyDescent="0.55000000000000004">
      <c r="A229" s="118" t="s">
        <v>367</v>
      </c>
      <c r="B229" s="119" t="s">
        <v>367</v>
      </c>
      <c r="C229" s="120" t="s">
        <v>282</v>
      </c>
      <c r="D229" s="120">
        <v>25</v>
      </c>
      <c r="E229" s="120">
        <v>1665</v>
      </c>
      <c r="F229" s="120">
        <v>249750</v>
      </c>
    </row>
    <row r="230" spans="1:6" x14ac:dyDescent="0.55000000000000004">
      <c r="A230" s="118" t="s">
        <v>367</v>
      </c>
      <c r="B230" s="119" t="s">
        <v>367</v>
      </c>
      <c r="C230" s="120" t="s">
        <v>375</v>
      </c>
      <c r="D230" s="120">
        <v>2</v>
      </c>
      <c r="E230" s="120">
        <v>135</v>
      </c>
      <c r="F230" s="120">
        <v>20250</v>
      </c>
    </row>
    <row r="231" spans="1:6" x14ac:dyDescent="0.55000000000000004">
      <c r="A231" s="118" t="s">
        <v>367</v>
      </c>
      <c r="B231" s="119" t="s">
        <v>367</v>
      </c>
      <c r="C231" s="120" t="s">
        <v>234</v>
      </c>
      <c r="D231" s="120">
        <v>1</v>
      </c>
      <c r="E231" s="120">
        <v>65</v>
      </c>
      <c r="F231" s="120">
        <v>9750</v>
      </c>
    </row>
    <row r="232" spans="1:6" x14ac:dyDescent="0.55000000000000004">
      <c r="A232" s="118" t="s">
        <v>367</v>
      </c>
      <c r="B232" s="119" t="s">
        <v>367</v>
      </c>
      <c r="C232" s="120" t="s">
        <v>376</v>
      </c>
      <c r="D232" s="120">
        <v>50</v>
      </c>
      <c r="E232" s="120">
        <v>3375</v>
      </c>
      <c r="F232" s="120">
        <v>506250</v>
      </c>
    </row>
    <row r="233" spans="1:6" x14ac:dyDescent="0.55000000000000004">
      <c r="A233" s="118" t="s">
        <v>367</v>
      </c>
      <c r="B233" s="119" t="s">
        <v>367</v>
      </c>
      <c r="C233" s="120" t="s">
        <v>377</v>
      </c>
      <c r="D233" s="120">
        <v>2</v>
      </c>
      <c r="E233" s="120">
        <v>110</v>
      </c>
      <c r="F233" s="120">
        <v>16500</v>
      </c>
    </row>
    <row r="234" spans="1:6" x14ac:dyDescent="0.55000000000000004">
      <c r="A234" s="118" t="s">
        <v>367</v>
      </c>
      <c r="B234" s="119" t="s">
        <v>367</v>
      </c>
      <c r="C234" s="120" t="s">
        <v>324</v>
      </c>
      <c r="D234" s="120">
        <v>47</v>
      </c>
      <c r="E234" s="120">
        <v>2815</v>
      </c>
      <c r="F234" s="120">
        <v>422250</v>
      </c>
    </row>
    <row r="235" spans="1:6" x14ac:dyDescent="0.55000000000000004">
      <c r="A235" s="118" t="s">
        <v>367</v>
      </c>
      <c r="B235" s="119" t="s">
        <v>367</v>
      </c>
      <c r="C235" s="120" t="s">
        <v>238</v>
      </c>
      <c r="D235" s="120">
        <v>15</v>
      </c>
      <c r="E235" s="120">
        <v>1005</v>
      </c>
      <c r="F235" s="120">
        <v>150750</v>
      </c>
    </row>
    <row r="236" spans="1:6" ht="20.25" x14ac:dyDescent="0.55000000000000004">
      <c r="A236" s="2725" t="s">
        <v>378</v>
      </c>
      <c r="B236" s="2725"/>
      <c r="C236" s="2725"/>
      <c r="D236" s="121">
        <v>4366</v>
      </c>
      <c r="E236" s="121">
        <v>281915</v>
      </c>
      <c r="F236" s="121">
        <v>42287250</v>
      </c>
    </row>
    <row r="237" spans="1:6" ht="20.25" x14ac:dyDescent="0.55000000000000004">
      <c r="A237" s="2726" t="s">
        <v>379</v>
      </c>
      <c r="B237" s="2726"/>
      <c r="C237" s="2726"/>
      <c r="D237" s="122">
        <v>4366</v>
      </c>
      <c r="E237" s="122">
        <v>281915</v>
      </c>
      <c r="F237" s="122">
        <v>42287250</v>
      </c>
    </row>
    <row r="238" spans="1:6" x14ac:dyDescent="0.55000000000000004">
      <c r="A238" s="118" t="s">
        <v>274</v>
      </c>
      <c r="B238" s="119" t="s">
        <v>241</v>
      </c>
      <c r="C238" s="120" t="s">
        <v>284</v>
      </c>
      <c r="D238" s="120">
        <v>78</v>
      </c>
      <c r="E238" s="120">
        <v>4129</v>
      </c>
      <c r="F238" s="120">
        <v>7279506</v>
      </c>
    </row>
    <row r="239" spans="1:6" ht="20.25" x14ac:dyDescent="0.55000000000000004">
      <c r="A239" s="2725" t="s">
        <v>380</v>
      </c>
      <c r="B239" s="2725"/>
      <c r="C239" s="2725"/>
      <c r="D239" s="121">
        <v>78</v>
      </c>
      <c r="E239" s="121">
        <v>4129</v>
      </c>
      <c r="F239" s="121">
        <v>7279506</v>
      </c>
    </row>
    <row r="240" spans="1:6" ht="20.25" x14ac:dyDescent="0.55000000000000004">
      <c r="A240" s="2726" t="s">
        <v>381</v>
      </c>
      <c r="B240" s="2726"/>
      <c r="C240" s="2726"/>
      <c r="D240" s="122">
        <v>78</v>
      </c>
      <c r="E240" s="122">
        <v>4129</v>
      </c>
      <c r="F240" s="122">
        <v>7279506</v>
      </c>
    </row>
    <row r="241" spans="1:6" x14ac:dyDescent="0.55000000000000004">
      <c r="A241" s="118" t="s">
        <v>246</v>
      </c>
      <c r="B241" s="119" t="s">
        <v>244</v>
      </c>
      <c r="C241" s="120" t="s">
        <v>382</v>
      </c>
      <c r="D241" s="120">
        <v>1</v>
      </c>
      <c r="E241" s="120">
        <v>44</v>
      </c>
      <c r="F241" s="120">
        <v>14390</v>
      </c>
    </row>
    <row r="242" spans="1:6" ht="20.25" x14ac:dyDescent="0.55000000000000004">
      <c r="A242" s="2725" t="s">
        <v>383</v>
      </c>
      <c r="B242" s="2725"/>
      <c r="C242" s="2725"/>
      <c r="D242" s="121">
        <v>1</v>
      </c>
      <c r="E242" s="121">
        <v>44</v>
      </c>
      <c r="F242" s="121">
        <v>14390</v>
      </c>
    </row>
    <row r="243" spans="1:6" ht="20.25" x14ac:dyDescent="0.55000000000000004">
      <c r="A243" s="2726" t="s">
        <v>384</v>
      </c>
      <c r="B243" s="2726"/>
      <c r="C243" s="2726"/>
      <c r="D243" s="122">
        <v>1</v>
      </c>
      <c r="E243" s="122">
        <v>44</v>
      </c>
      <c r="F243" s="122">
        <v>14390</v>
      </c>
    </row>
    <row r="244" spans="1:6" x14ac:dyDescent="0.55000000000000004">
      <c r="A244" s="118" t="s">
        <v>385</v>
      </c>
      <c r="B244" s="119" t="s">
        <v>244</v>
      </c>
      <c r="C244" s="120" t="s">
        <v>236</v>
      </c>
      <c r="D244" s="120">
        <v>186</v>
      </c>
      <c r="E244" s="120">
        <v>7068</v>
      </c>
      <c r="F244" s="120">
        <v>6868364</v>
      </c>
    </row>
    <row r="245" spans="1:6" ht="20.25" x14ac:dyDescent="0.55000000000000004">
      <c r="A245" s="2725" t="s">
        <v>386</v>
      </c>
      <c r="B245" s="2725"/>
      <c r="C245" s="2725"/>
      <c r="D245" s="121">
        <v>186</v>
      </c>
      <c r="E245" s="121">
        <v>7068</v>
      </c>
      <c r="F245" s="121">
        <v>6868364</v>
      </c>
    </row>
    <row r="246" spans="1:6" ht="20.25" x14ac:dyDescent="0.55000000000000004">
      <c r="A246" s="2726" t="s">
        <v>387</v>
      </c>
      <c r="B246" s="2726"/>
      <c r="C246" s="2726"/>
      <c r="D246" s="122">
        <v>186</v>
      </c>
      <c r="E246" s="122">
        <v>7068</v>
      </c>
      <c r="F246" s="122">
        <v>6868364</v>
      </c>
    </row>
    <row r="247" spans="1:6" x14ac:dyDescent="0.55000000000000004">
      <c r="A247" s="118" t="s">
        <v>309</v>
      </c>
      <c r="B247" s="119" t="s">
        <v>244</v>
      </c>
      <c r="C247" s="120" t="s">
        <v>388</v>
      </c>
      <c r="D247" s="120">
        <v>2</v>
      </c>
      <c r="E247" s="120">
        <v>30</v>
      </c>
      <c r="F247" s="120">
        <v>74303</v>
      </c>
    </row>
    <row r="248" spans="1:6" x14ac:dyDescent="0.55000000000000004">
      <c r="A248" s="118" t="s">
        <v>309</v>
      </c>
      <c r="B248" s="119" t="s">
        <v>244</v>
      </c>
      <c r="C248" s="120" t="s">
        <v>325</v>
      </c>
      <c r="D248" s="120">
        <v>5</v>
      </c>
      <c r="E248" s="120">
        <v>212</v>
      </c>
      <c r="F248" s="120">
        <v>525075</v>
      </c>
    </row>
    <row r="249" spans="1:6" ht="20.25" x14ac:dyDescent="0.55000000000000004">
      <c r="A249" s="2725" t="s">
        <v>389</v>
      </c>
      <c r="B249" s="2725"/>
      <c r="C249" s="2725"/>
      <c r="D249" s="121">
        <v>7</v>
      </c>
      <c r="E249" s="121">
        <v>242</v>
      </c>
      <c r="F249" s="121">
        <v>599378</v>
      </c>
    </row>
    <row r="250" spans="1:6" x14ac:dyDescent="0.55000000000000004">
      <c r="A250" s="118" t="s">
        <v>309</v>
      </c>
      <c r="B250" s="119" t="s">
        <v>390</v>
      </c>
      <c r="C250" s="120" t="s">
        <v>283</v>
      </c>
      <c r="D250" s="120">
        <v>249</v>
      </c>
      <c r="E250" s="120">
        <v>5727</v>
      </c>
      <c r="F250" s="120">
        <v>859050</v>
      </c>
    </row>
    <row r="251" spans="1:6" ht="20.25" x14ac:dyDescent="0.55000000000000004">
      <c r="A251" s="2725" t="s">
        <v>391</v>
      </c>
      <c r="B251" s="2725"/>
      <c r="C251" s="2725"/>
      <c r="D251" s="121">
        <v>249</v>
      </c>
      <c r="E251" s="121">
        <v>5727</v>
      </c>
      <c r="F251" s="121">
        <v>859050</v>
      </c>
    </row>
    <row r="252" spans="1:6" ht="20.25" x14ac:dyDescent="0.55000000000000004">
      <c r="A252" s="2726" t="s">
        <v>392</v>
      </c>
      <c r="B252" s="2726"/>
      <c r="C252" s="2726"/>
      <c r="D252" s="122">
        <v>256</v>
      </c>
      <c r="E252" s="122">
        <v>5969</v>
      </c>
      <c r="F252" s="122">
        <v>1458428</v>
      </c>
    </row>
    <row r="253" spans="1:6" x14ac:dyDescent="0.55000000000000004">
      <c r="A253" s="118" t="s">
        <v>353</v>
      </c>
      <c r="B253" s="119" t="s">
        <v>244</v>
      </c>
      <c r="C253" s="120" t="s">
        <v>319</v>
      </c>
      <c r="D253" s="120">
        <v>1</v>
      </c>
      <c r="E253" s="120">
        <v>14</v>
      </c>
      <c r="F253" s="120">
        <v>3137</v>
      </c>
    </row>
    <row r="254" spans="1:6" x14ac:dyDescent="0.55000000000000004">
      <c r="A254" s="118" t="s">
        <v>353</v>
      </c>
      <c r="B254" s="119" t="s">
        <v>244</v>
      </c>
      <c r="C254" s="120" t="s">
        <v>322</v>
      </c>
      <c r="D254" s="120">
        <v>1</v>
      </c>
      <c r="E254" s="120">
        <v>50</v>
      </c>
      <c r="F254" s="120">
        <v>11205</v>
      </c>
    </row>
    <row r="255" spans="1:6" x14ac:dyDescent="0.55000000000000004">
      <c r="A255" s="118" t="s">
        <v>353</v>
      </c>
      <c r="B255" s="119" t="s">
        <v>244</v>
      </c>
      <c r="C255" s="120" t="s">
        <v>388</v>
      </c>
      <c r="D255" s="120">
        <v>1</v>
      </c>
      <c r="E255" s="120">
        <v>15</v>
      </c>
      <c r="F255" s="120">
        <v>3361</v>
      </c>
    </row>
    <row r="256" spans="1:6" ht="20.25" x14ac:dyDescent="0.55000000000000004">
      <c r="A256" s="2725" t="s">
        <v>393</v>
      </c>
      <c r="B256" s="2725"/>
      <c r="C256" s="2725"/>
      <c r="D256" s="121">
        <v>3</v>
      </c>
      <c r="E256" s="121">
        <v>79</v>
      </c>
      <c r="F256" s="121">
        <v>17703</v>
      </c>
    </row>
    <row r="257" spans="1:6" ht="20.25" x14ac:dyDescent="0.55000000000000004">
      <c r="A257" s="2726" t="s">
        <v>394</v>
      </c>
      <c r="B257" s="2726"/>
      <c r="C257" s="2726"/>
      <c r="D257" s="122">
        <v>3</v>
      </c>
      <c r="E257" s="122">
        <v>79</v>
      </c>
      <c r="F257" s="122">
        <v>17703</v>
      </c>
    </row>
    <row r="258" spans="1:6" x14ac:dyDescent="0.55000000000000004">
      <c r="A258" s="118" t="s">
        <v>276</v>
      </c>
      <c r="B258" s="119" t="s">
        <v>241</v>
      </c>
      <c r="C258" s="120" t="s">
        <v>242</v>
      </c>
      <c r="D258" s="120">
        <v>14</v>
      </c>
      <c r="E258" s="120">
        <v>80</v>
      </c>
      <c r="F258" s="120">
        <v>119626</v>
      </c>
    </row>
    <row r="259" spans="1:6" x14ac:dyDescent="0.55000000000000004">
      <c r="A259" s="118" t="s">
        <v>276</v>
      </c>
      <c r="B259" s="119" t="s">
        <v>241</v>
      </c>
      <c r="C259" s="120" t="s">
        <v>251</v>
      </c>
      <c r="D259" s="120">
        <v>3</v>
      </c>
      <c r="E259" s="120">
        <v>24</v>
      </c>
      <c r="F259" s="120">
        <v>35888</v>
      </c>
    </row>
    <row r="260" spans="1:6" ht="20.25" x14ac:dyDescent="0.55000000000000004">
      <c r="A260" s="2725" t="s">
        <v>395</v>
      </c>
      <c r="B260" s="2725"/>
      <c r="C260" s="2725"/>
      <c r="D260" s="121">
        <v>17</v>
      </c>
      <c r="E260" s="121">
        <v>104</v>
      </c>
      <c r="F260" s="121">
        <v>155514</v>
      </c>
    </row>
    <row r="261" spans="1:6" x14ac:dyDescent="0.55000000000000004">
      <c r="A261" s="118" t="s">
        <v>276</v>
      </c>
      <c r="B261" s="119" t="s">
        <v>244</v>
      </c>
      <c r="C261" s="120" t="s">
        <v>228</v>
      </c>
      <c r="D261" s="120">
        <v>11</v>
      </c>
      <c r="E261" s="120">
        <v>477</v>
      </c>
      <c r="F261" s="120">
        <v>1013970</v>
      </c>
    </row>
    <row r="262" spans="1:6" x14ac:dyDescent="0.55000000000000004">
      <c r="A262" s="118" t="s">
        <v>276</v>
      </c>
      <c r="B262" s="119" t="s">
        <v>244</v>
      </c>
      <c r="C262" s="120" t="s">
        <v>396</v>
      </c>
      <c r="D262" s="120">
        <v>15</v>
      </c>
      <c r="E262" s="120">
        <v>781</v>
      </c>
      <c r="F262" s="120">
        <v>1660190</v>
      </c>
    </row>
    <row r="263" spans="1:6" ht="20.25" x14ac:dyDescent="0.55000000000000004">
      <c r="A263" s="2725" t="s">
        <v>397</v>
      </c>
      <c r="B263" s="2725"/>
      <c r="C263" s="2725"/>
      <c r="D263" s="121">
        <v>26</v>
      </c>
      <c r="E263" s="121">
        <v>1258</v>
      </c>
      <c r="F263" s="121">
        <v>2674160</v>
      </c>
    </row>
    <row r="264" spans="1:6" ht="20.25" x14ac:dyDescent="0.55000000000000004">
      <c r="A264" s="2726" t="s">
        <v>398</v>
      </c>
      <c r="B264" s="2726"/>
      <c r="C264" s="2726"/>
      <c r="D264" s="122">
        <v>43</v>
      </c>
      <c r="E264" s="122">
        <v>1362</v>
      </c>
      <c r="F264" s="122">
        <v>2829674</v>
      </c>
    </row>
    <row r="265" spans="1:6" x14ac:dyDescent="0.55000000000000004">
      <c r="A265" s="118" t="s">
        <v>278</v>
      </c>
      <c r="B265" s="119" t="s">
        <v>241</v>
      </c>
      <c r="C265" s="120" t="s">
        <v>251</v>
      </c>
      <c r="D265" s="120">
        <v>39</v>
      </c>
      <c r="E265" s="120">
        <v>390</v>
      </c>
      <c r="F265" s="120">
        <v>568887</v>
      </c>
    </row>
    <row r="266" spans="1:6" ht="20.25" x14ac:dyDescent="0.55000000000000004">
      <c r="A266" s="2725" t="s">
        <v>399</v>
      </c>
      <c r="B266" s="2725"/>
      <c r="C266" s="2725"/>
      <c r="D266" s="121">
        <v>39</v>
      </c>
      <c r="E266" s="121">
        <v>390</v>
      </c>
      <c r="F266" s="121">
        <v>568887</v>
      </c>
    </row>
    <row r="267" spans="1:6" x14ac:dyDescent="0.55000000000000004">
      <c r="A267" s="118" t="s">
        <v>278</v>
      </c>
      <c r="B267" s="119" t="s">
        <v>253</v>
      </c>
      <c r="C267" s="120" t="s">
        <v>228</v>
      </c>
      <c r="D267" s="120">
        <v>12</v>
      </c>
      <c r="E267" s="120">
        <v>265</v>
      </c>
      <c r="F267" s="120">
        <v>42008</v>
      </c>
    </row>
    <row r="268" spans="1:6" x14ac:dyDescent="0.55000000000000004">
      <c r="A268" s="118" t="s">
        <v>278</v>
      </c>
      <c r="B268" s="119" t="s">
        <v>253</v>
      </c>
      <c r="C268" s="120" t="s">
        <v>257</v>
      </c>
      <c r="D268" s="120">
        <v>7</v>
      </c>
      <c r="E268" s="120">
        <v>478</v>
      </c>
      <c r="F268" s="120">
        <v>75773</v>
      </c>
    </row>
    <row r="269" spans="1:6" x14ac:dyDescent="0.55000000000000004">
      <c r="A269" s="118" t="s">
        <v>278</v>
      </c>
      <c r="B269" s="119" t="s">
        <v>253</v>
      </c>
      <c r="C269" s="120" t="s">
        <v>289</v>
      </c>
      <c r="D269" s="120">
        <v>2</v>
      </c>
      <c r="E269" s="120">
        <v>134</v>
      </c>
      <c r="F269" s="120">
        <v>21242</v>
      </c>
    </row>
    <row r="270" spans="1:6" x14ac:dyDescent="0.55000000000000004">
      <c r="A270" s="118" t="s">
        <v>278</v>
      </c>
      <c r="B270" s="119" t="s">
        <v>253</v>
      </c>
      <c r="C270" s="120" t="s">
        <v>294</v>
      </c>
      <c r="D270" s="120">
        <v>1</v>
      </c>
      <c r="E270" s="120">
        <v>66</v>
      </c>
      <c r="F270" s="120">
        <v>10462</v>
      </c>
    </row>
    <row r="271" spans="1:6" x14ac:dyDescent="0.55000000000000004">
      <c r="A271" s="118" t="s">
        <v>278</v>
      </c>
      <c r="B271" s="119" t="s">
        <v>253</v>
      </c>
      <c r="C271" s="120" t="s">
        <v>295</v>
      </c>
      <c r="D271" s="120">
        <v>12</v>
      </c>
      <c r="E271" s="120">
        <v>793</v>
      </c>
      <c r="F271" s="120">
        <v>125707</v>
      </c>
    </row>
    <row r="272" spans="1:6" x14ac:dyDescent="0.55000000000000004">
      <c r="A272" s="118" t="s">
        <v>278</v>
      </c>
      <c r="B272" s="119" t="s">
        <v>253</v>
      </c>
      <c r="C272" s="120" t="s">
        <v>234</v>
      </c>
      <c r="D272" s="120">
        <v>9</v>
      </c>
      <c r="E272" s="120">
        <v>497</v>
      </c>
      <c r="F272" s="120">
        <v>78785</v>
      </c>
    </row>
    <row r="273" spans="1:6" x14ac:dyDescent="0.55000000000000004">
      <c r="A273" s="118" t="s">
        <v>278</v>
      </c>
      <c r="B273" s="119" t="s">
        <v>253</v>
      </c>
      <c r="C273" s="120" t="s">
        <v>266</v>
      </c>
      <c r="D273" s="120">
        <v>3</v>
      </c>
      <c r="E273" s="120">
        <v>183</v>
      </c>
      <c r="F273" s="120">
        <v>29009</v>
      </c>
    </row>
    <row r="274" spans="1:6" x14ac:dyDescent="0.55000000000000004">
      <c r="A274" s="118" t="s">
        <v>278</v>
      </c>
      <c r="B274" s="119" t="s">
        <v>253</v>
      </c>
      <c r="C274" s="120" t="s">
        <v>267</v>
      </c>
      <c r="D274" s="120">
        <v>1</v>
      </c>
      <c r="E274" s="120">
        <v>65</v>
      </c>
      <c r="F274" s="120">
        <v>10304</v>
      </c>
    </row>
    <row r="275" spans="1:6" x14ac:dyDescent="0.55000000000000004">
      <c r="A275" s="118" t="s">
        <v>278</v>
      </c>
      <c r="B275" s="119" t="s">
        <v>253</v>
      </c>
      <c r="C275" s="120" t="s">
        <v>269</v>
      </c>
      <c r="D275" s="120">
        <v>5</v>
      </c>
      <c r="E275" s="120">
        <v>312</v>
      </c>
      <c r="F275" s="120">
        <v>49459</v>
      </c>
    </row>
    <row r="276" spans="1:6" ht="20.25" x14ac:dyDescent="0.55000000000000004">
      <c r="A276" s="2725" t="s">
        <v>400</v>
      </c>
      <c r="B276" s="2725"/>
      <c r="C276" s="2725"/>
      <c r="D276" s="121">
        <v>52</v>
      </c>
      <c r="E276" s="121">
        <v>2793</v>
      </c>
      <c r="F276" s="121">
        <v>442749</v>
      </c>
    </row>
    <row r="277" spans="1:6" ht="20.25" x14ac:dyDescent="0.55000000000000004">
      <c r="A277" s="2726" t="s">
        <v>401</v>
      </c>
      <c r="B277" s="2726"/>
      <c r="C277" s="2726"/>
      <c r="D277" s="122">
        <v>91</v>
      </c>
      <c r="E277" s="122">
        <v>3183</v>
      </c>
      <c r="F277" s="122">
        <v>1011636</v>
      </c>
    </row>
    <row r="278" spans="1:6" x14ac:dyDescent="0.55000000000000004">
      <c r="A278" s="118" t="s">
        <v>402</v>
      </c>
      <c r="B278" s="119" t="s">
        <v>244</v>
      </c>
      <c r="C278" s="120" t="s">
        <v>242</v>
      </c>
      <c r="D278" s="120">
        <v>43</v>
      </c>
      <c r="E278" s="120">
        <v>1451</v>
      </c>
      <c r="F278" s="120">
        <v>1455997</v>
      </c>
    </row>
    <row r="279" spans="1:6" x14ac:dyDescent="0.55000000000000004">
      <c r="A279" s="118" t="s">
        <v>402</v>
      </c>
      <c r="B279" s="119" t="s">
        <v>244</v>
      </c>
      <c r="C279" s="120" t="s">
        <v>236</v>
      </c>
      <c r="D279" s="120">
        <v>702</v>
      </c>
      <c r="E279" s="120">
        <v>22650</v>
      </c>
      <c r="F279" s="120">
        <v>22783404</v>
      </c>
    </row>
    <row r="280" spans="1:6" ht="20.25" x14ac:dyDescent="0.55000000000000004">
      <c r="A280" s="2725" t="s">
        <v>403</v>
      </c>
      <c r="B280" s="2725"/>
      <c r="C280" s="2725"/>
      <c r="D280" s="121">
        <v>745</v>
      </c>
      <c r="E280" s="121">
        <v>24101</v>
      </c>
      <c r="F280" s="121">
        <v>24239401</v>
      </c>
    </row>
    <row r="281" spans="1:6" ht="20.25" x14ac:dyDescent="0.55000000000000004">
      <c r="A281" s="2726" t="s">
        <v>404</v>
      </c>
      <c r="B281" s="2726"/>
      <c r="C281" s="2726"/>
      <c r="D281" s="122">
        <v>745</v>
      </c>
      <c r="E281" s="122">
        <v>24101</v>
      </c>
      <c r="F281" s="122">
        <v>24239401</v>
      </c>
    </row>
    <row r="282" spans="1:6" ht="20.25" x14ac:dyDescent="0.55000000000000004">
      <c r="A282" s="2727" t="s">
        <v>66</v>
      </c>
      <c r="B282" s="2728"/>
      <c r="C282" s="2729"/>
      <c r="D282" s="123">
        <v>40700</v>
      </c>
      <c r="E282" s="123">
        <v>2373783</v>
      </c>
      <c r="F282" s="123">
        <v>3098196478</v>
      </c>
    </row>
  </sheetData>
  <autoFilter ref="A3:F283" xr:uid="{00000000-0009-0000-0000-000004000000}"/>
  <mergeCells count="57">
    <mergeCell ref="A64:C64"/>
    <mergeCell ref="A1:F1"/>
    <mergeCell ref="A17:C17"/>
    <mergeCell ref="A20:C20"/>
    <mergeCell ref="A22:C22"/>
    <mergeCell ref="A25:C25"/>
    <mergeCell ref="A27:C27"/>
    <mergeCell ref="A28:C28"/>
    <mergeCell ref="A31:C31"/>
    <mergeCell ref="A55:C55"/>
    <mergeCell ref="A59:C59"/>
    <mergeCell ref="A61:C61"/>
    <mergeCell ref="A134:C134"/>
    <mergeCell ref="A66:C66"/>
    <mergeCell ref="A67:C67"/>
    <mergeCell ref="A78:C78"/>
    <mergeCell ref="A113:C113"/>
    <mergeCell ref="A117:C117"/>
    <mergeCell ref="A119:C119"/>
    <mergeCell ref="A121:C121"/>
    <mergeCell ref="A123:C123"/>
    <mergeCell ref="A129:C129"/>
    <mergeCell ref="A131:C131"/>
    <mergeCell ref="A133:C133"/>
    <mergeCell ref="A236:C236"/>
    <mergeCell ref="A148:C148"/>
    <mergeCell ref="A181:C181"/>
    <mergeCell ref="A185:C185"/>
    <mergeCell ref="A187:C187"/>
    <mergeCell ref="A189:C189"/>
    <mergeCell ref="A194:C194"/>
    <mergeCell ref="A196:C196"/>
    <mergeCell ref="A210:C210"/>
    <mergeCell ref="A212:C212"/>
    <mergeCell ref="A214:C214"/>
    <mergeCell ref="A215:C215"/>
    <mergeCell ref="A257:C257"/>
    <mergeCell ref="A237:C237"/>
    <mergeCell ref="A239:C239"/>
    <mergeCell ref="A240:C240"/>
    <mergeCell ref="A242:C242"/>
    <mergeCell ref="A243:C243"/>
    <mergeCell ref="A245:C245"/>
    <mergeCell ref="A246:C246"/>
    <mergeCell ref="A249:C249"/>
    <mergeCell ref="A251:C251"/>
    <mergeCell ref="A252:C252"/>
    <mergeCell ref="A256:C256"/>
    <mergeCell ref="A280:C280"/>
    <mergeCell ref="A281:C281"/>
    <mergeCell ref="A282:C282"/>
    <mergeCell ref="A260:C260"/>
    <mergeCell ref="A263:C263"/>
    <mergeCell ref="A264:C264"/>
    <mergeCell ref="A266:C266"/>
    <mergeCell ref="A276:C276"/>
    <mergeCell ref="A277:C27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</sheetPr>
  <dimension ref="A1:Q27"/>
  <sheetViews>
    <sheetView showGridLines="0" rightToLeft="1" zoomScaleNormal="100" workbookViewId="0">
      <selection activeCell="A2" sqref="A2:A3"/>
    </sheetView>
  </sheetViews>
  <sheetFormatPr defaultColWidth="9.125" defaultRowHeight="12.75" x14ac:dyDescent="0.2"/>
  <cols>
    <col min="1" max="1" width="14.625" style="1194" bestFit="1" customWidth="1"/>
    <col min="2" max="3" width="8.125" style="1194" bestFit="1" customWidth="1"/>
    <col min="4" max="4" width="9.125" style="1194" bestFit="1" customWidth="1"/>
    <col min="5" max="14" width="8.125" style="1194" bestFit="1" customWidth="1"/>
    <col min="15" max="15" width="16.125" style="1194" customWidth="1"/>
    <col min="16" max="16" width="9.375" style="1194" bestFit="1" customWidth="1"/>
    <col min="17" max="17" width="11.125" style="1194" bestFit="1" customWidth="1"/>
    <col min="18" max="16384" width="9.125" style="1194"/>
  </cols>
  <sheetData>
    <row r="1" spans="1:17" ht="22.5" customHeight="1" thickBot="1" x14ac:dyDescent="0.25">
      <c r="A1" s="3108" t="s">
        <v>1919</v>
      </c>
      <c r="B1" s="3108"/>
      <c r="C1" s="3108"/>
      <c r="D1" s="3108"/>
      <c r="E1" s="3108"/>
      <c r="F1" s="3108"/>
      <c r="G1" s="3108"/>
      <c r="H1" s="3108"/>
      <c r="I1" s="3108"/>
      <c r="J1" s="3108"/>
      <c r="K1" s="3108"/>
      <c r="L1" s="3108"/>
      <c r="M1" s="3108"/>
      <c r="N1" s="3108"/>
      <c r="O1" s="3108"/>
      <c r="P1" s="3108"/>
      <c r="Q1" s="3108"/>
    </row>
    <row r="2" spans="1:17" ht="20.25" thickBot="1" x14ac:dyDescent="0.55000000000000004">
      <c r="A2" s="3109" t="s">
        <v>921</v>
      </c>
      <c r="B2" s="1960" t="s">
        <v>1798</v>
      </c>
      <c r="C2" s="1961" t="s">
        <v>1799</v>
      </c>
      <c r="D2" s="1961" t="s">
        <v>1800</v>
      </c>
      <c r="E2" s="1961" t="s">
        <v>1801</v>
      </c>
      <c r="F2" s="1961" t="s">
        <v>1802</v>
      </c>
      <c r="G2" s="1961" t="s">
        <v>1803</v>
      </c>
      <c r="H2" s="1961" t="s">
        <v>1804</v>
      </c>
      <c r="I2" s="1961" t="s">
        <v>1805</v>
      </c>
      <c r="J2" s="3111" t="s">
        <v>1806</v>
      </c>
      <c r="K2" s="1961" t="s">
        <v>1807</v>
      </c>
      <c r="L2" s="1961" t="s">
        <v>1808</v>
      </c>
      <c r="M2" s="1961" t="s">
        <v>1809</v>
      </c>
      <c r="N2" s="1961" t="s">
        <v>1810</v>
      </c>
      <c r="O2" s="1962" t="s">
        <v>1811</v>
      </c>
      <c r="P2" s="3113" t="s">
        <v>33</v>
      </c>
      <c r="Q2" s="3115" t="s">
        <v>1812</v>
      </c>
    </row>
    <row r="3" spans="1:17" ht="21" thickTop="1" thickBot="1" x14ac:dyDescent="0.55000000000000004">
      <c r="A3" s="3110"/>
      <c r="B3" s="1963" t="s">
        <v>1813</v>
      </c>
      <c r="C3" s="1964" t="s">
        <v>1814</v>
      </c>
      <c r="D3" s="1964" t="s">
        <v>1815</v>
      </c>
      <c r="E3" s="1964" t="s">
        <v>1816</v>
      </c>
      <c r="F3" s="1964" t="s">
        <v>1817</v>
      </c>
      <c r="G3" s="1964" t="s">
        <v>1818</v>
      </c>
      <c r="H3" s="1964" t="s">
        <v>1819</v>
      </c>
      <c r="I3" s="1964" t="s">
        <v>1820</v>
      </c>
      <c r="J3" s="3112"/>
      <c r="K3" s="1964" t="s">
        <v>1821</v>
      </c>
      <c r="L3" s="1964" t="s">
        <v>1822</v>
      </c>
      <c r="M3" s="1964" t="s">
        <v>1823</v>
      </c>
      <c r="N3" s="1964" t="s">
        <v>1824</v>
      </c>
      <c r="O3" s="1965" t="s">
        <v>1825</v>
      </c>
      <c r="P3" s="3114"/>
      <c r="Q3" s="3116"/>
    </row>
    <row r="4" spans="1:17" ht="21" x14ac:dyDescent="0.2">
      <c r="A4" s="1966" t="s">
        <v>201</v>
      </c>
      <c r="B4" s="1973">
        <v>48</v>
      </c>
      <c r="C4" s="1974">
        <v>698</v>
      </c>
      <c r="D4" s="1974">
        <v>830</v>
      </c>
      <c r="E4" s="1974">
        <v>401</v>
      </c>
      <c r="F4" s="1974">
        <v>31</v>
      </c>
      <c r="G4" s="1974">
        <v>26</v>
      </c>
      <c r="H4" s="1974">
        <v>0</v>
      </c>
      <c r="I4" s="1974">
        <v>0</v>
      </c>
      <c r="J4" s="1974">
        <v>0</v>
      </c>
      <c r="K4" s="1974">
        <v>9</v>
      </c>
      <c r="L4" s="1974">
        <v>1</v>
      </c>
      <c r="M4" s="1974">
        <v>0</v>
      </c>
      <c r="N4" s="1974">
        <v>6</v>
      </c>
      <c r="O4" s="1975">
        <v>38</v>
      </c>
      <c r="P4" s="1976">
        <f>SUM(B4:N4)</f>
        <v>2050</v>
      </c>
      <c r="Q4" s="1977">
        <v>18522</v>
      </c>
    </row>
    <row r="5" spans="1:17" ht="21" x14ac:dyDescent="0.2">
      <c r="A5" s="1967" t="s">
        <v>198</v>
      </c>
      <c r="B5" s="1978">
        <v>21</v>
      </c>
      <c r="C5" s="1979">
        <v>722</v>
      </c>
      <c r="D5" s="1979">
        <v>311</v>
      </c>
      <c r="E5" s="1979">
        <v>218</v>
      </c>
      <c r="F5" s="1979">
        <v>4</v>
      </c>
      <c r="G5" s="1979">
        <v>14</v>
      </c>
      <c r="H5" s="1979">
        <v>0</v>
      </c>
      <c r="I5" s="1979">
        <v>0</v>
      </c>
      <c r="J5" s="1979">
        <v>0</v>
      </c>
      <c r="K5" s="1979">
        <v>57</v>
      </c>
      <c r="L5" s="1979">
        <v>9</v>
      </c>
      <c r="M5" s="1979">
        <v>0</v>
      </c>
      <c r="N5" s="1979">
        <v>0</v>
      </c>
      <c r="O5" s="1980">
        <v>24</v>
      </c>
      <c r="P5" s="1981">
        <f t="shared" ref="P5:P24" si="0">SUM(B5:N5)</f>
        <v>1356</v>
      </c>
      <c r="Q5" s="1982">
        <v>8003</v>
      </c>
    </row>
    <row r="6" spans="1:17" ht="21" x14ac:dyDescent="0.2">
      <c r="A6" s="1967" t="s">
        <v>97</v>
      </c>
      <c r="B6" s="1978">
        <v>639</v>
      </c>
      <c r="C6" s="1979">
        <v>273</v>
      </c>
      <c r="D6" s="1979">
        <v>1360</v>
      </c>
      <c r="E6" s="1979">
        <v>187</v>
      </c>
      <c r="F6" s="1979">
        <v>5</v>
      </c>
      <c r="G6" s="1979">
        <v>20</v>
      </c>
      <c r="H6" s="1979">
        <v>0</v>
      </c>
      <c r="I6" s="1979">
        <v>0</v>
      </c>
      <c r="J6" s="1979">
        <v>0</v>
      </c>
      <c r="K6" s="1979">
        <v>4</v>
      </c>
      <c r="L6" s="1979">
        <v>3</v>
      </c>
      <c r="M6" s="1979">
        <v>4</v>
      </c>
      <c r="N6" s="1979">
        <v>1</v>
      </c>
      <c r="O6" s="1980">
        <v>38</v>
      </c>
      <c r="P6" s="1981">
        <f t="shared" si="0"/>
        <v>2496</v>
      </c>
      <c r="Q6" s="1982">
        <v>31149</v>
      </c>
    </row>
    <row r="7" spans="1:17" ht="21" x14ac:dyDescent="0.2">
      <c r="A7" s="1967" t="s">
        <v>102</v>
      </c>
      <c r="B7" s="1978">
        <v>311</v>
      </c>
      <c r="C7" s="1979">
        <v>207</v>
      </c>
      <c r="D7" s="1979">
        <v>390</v>
      </c>
      <c r="E7" s="1979">
        <v>7</v>
      </c>
      <c r="F7" s="1979">
        <v>36</v>
      </c>
      <c r="G7" s="1979">
        <v>2</v>
      </c>
      <c r="H7" s="1979">
        <v>0</v>
      </c>
      <c r="I7" s="1979">
        <v>0</v>
      </c>
      <c r="J7" s="1979">
        <v>0</v>
      </c>
      <c r="K7" s="1979">
        <v>129</v>
      </c>
      <c r="L7" s="1979">
        <v>5</v>
      </c>
      <c r="M7" s="1979">
        <v>1</v>
      </c>
      <c r="N7" s="1979">
        <v>0</v>
      </c>
      <c r="O7" s="1980">
        <v>65</v>
      </c>
      <c r="P7" s="1981">
        <v>1088</v>
      </c>
      <c r="Q7" s="1982">
        <v>16003</v>
      </c>
    </row>
    <row r="8" spans="1:17" ht="21" x14ac:dyDescent="0.2">
      <c r="A8" s="1967" t="s">
        <v>108</v>
      </c>
      <c r="B8" s="1978">
        <v>192</v>
      </c>
      <c r="C8" s="1979">
        <v>112</v>
      </c>
      <c r="D8" s="1979">
        <v>574</v>
      </c>
      <c r="E8" s="1979">
        <v>202</v>
      </c>
      <c r="F8" s="1979">
        <v>44</v>
      </c>
      <c r="G8" s="1979">
        <v>21</v>
      </c>
      <c r="H8" s="1979">
        <v>0</v>
      </c>
      <c r="I8" s="1979">
        <v>3</v>
      </c>
      <c r="J8" s="1979">
        <v>0</v>
      </c>
      <c r="K8" s="1979">
        <v>216</v>
      </c>
      <c r="L8" s="1979">
        <v>0</v>
      </c>
      <c r="M8" s="1979">
        <v>0</v>
      </c>
      <c r="N8" s="1979">
        <v>0</v>
      </c>
      <c r="O8" s="1980">
        <v>0</v>
      </c>
      <c r="P8" s="1981">
        <v>1364</v>
      </c>
      <c r="Q8" s="1982">
        <v>9709</v>
      </c>
    </row>
    <row r="9" spans="1:17" ht="21" x14ac:dyDescent="0.2">
      <c r="A9" s="1967" t="s">
        <v>107</v>
      </c>
      <c r="B9" s="1978">
        <v>34</v>
      </c>
      <c r="C9" s="1979">
        <v>0</v>
      </c>
      <c r="D9" s="1979">
        <v>46</v>
      </c>
      <c r="E9" s="1979">
        <v>0</v>
      </c>
      <c r="F9" s="1979">
        <v>3</v>
      </c>
      <c r="G9" s="1979">
        <v>0</v>
      </c>
      <c r="H9" s="1979">
        <v>0</v>
      </c>
      <c r="I9" s="1979">
        <v>0</v>
      </c>
      <c r="J9" s="1979">
        <v>0</v>
      </c>
      <c r="K9" s="1979">
        <v>133</v>
      </c>
      <c r="L9" s="1979">
        <v>0</v>
      </c>
      <c r="M9" s="1979">
        <v>1</v>
      </c>
      <c r="N9" s="1979">
        <v>4</v>
      </c>
      <c r="O9" s="1980">
        <v>40</v>
      </c>
      <c r="P9" s="1981">
        <f t="shared" si="0"/>
        <v>221</v>
      </c>
      <c r="Q9" s="1982">
        <v>8733</v>
      </c>
    </row>
    <row r="10" spans="1:17" ht="21" x14ac:dyDescent="0.2">
      <c r="A10" s="1967" t="s">
        <v>212</v>
      </c>
      <c r="B10" s="1978">
        <v>0</v>
      </c>
      <c r="C10" s="1979">
        <v>627</v>
      </c>
      <c r="D10" s="1979">
        <v>1178</v>
      </c>
      <c r="E10" s="1979">
        <v>0</v>
      </c>
      <c r="F10" s="1979">
        <v>2</v>
      </c>
      <c r="G10" s="1979">
        <v>0</v>
      </c>
      <c r="H10" s="1979">
        <v>0</v>
      </c>
      <c r="I10" s="1979">
        <v>0</v>
      </c>
      <c r="J10" s="1979">
        <v>0</v>
      </c>
      <c r="K10" s="1979">
        <v>1</v>
      </c>
      <c r="L10" s="1979">
        <v>0</v>
      </c>
      <c r="M10" s="1979">
        <v>0</v>
      </c>
      <c r="N10" s="1979">
        <v>0</v>
      </c>
      <c r="O10" s="1980">
        <v>5</v>
      </c>
      <c r="P10" s="1981">
        <f t="shared" si="0"/>
        <v>1808</v>
      </c>
      <c r="Q10" s="1982">
        <v>11185</v>
      </c>
    </row>
    <row r="11" spans="1:17" ht="21" x14ac:dyDescent="0.2">
      <c r="A11" s="1967" t="s">
        <v>927</v>
      </c>
      <c r="B11" s="1978">
        <v>40</v>
      </c>
      <c r="C11" s="1979">
        <v>21</v>
      </c>
      <c r="D11" s="1979">
        <v>1033</v>
      </c>
      <c r="E11" s="1979">
        <v>0</v>
      </c>
      <c r="F11" s="1979">
        <v>20</v>
      </c>
      <c r="G11" s="1979">
        <v>0</v>
      </c>
      <c r="H11" s="1979">
        <v>0</v>
      </c>
      <c r="I11" s="1979">
        <v>0</v>
      </c>
      <c r="J11" s="1979">
        <v>0</v>
      </c>
      <c r="K11" s="1979">
        <v>4</v>
      </c>
      <c r="L11" s="1979">
        <v>6</v>
      </c>
      <c r="M11" s="1979">
        <v>0</v>
      </c>
      <c r="N11" s="1979">
        <v>0</v>
      </c>
      <c r="O11" s="1979">
        <v>5</v>
      </c>
      <c r="P11" s="1981">
        <f t="shared" si="0"/>
        <v>1124</v>
      </c>
      <c r="Q11" s="1982">
        <v>10389</v>
      </c>
    </row>
    <row r="12" spans="1:17" ht="21" x14ac:dyDescent="0.2">
      <c r="A12" s="1967" t="s">
        <v>930</v>
      </c>
      <c r="B12" s="1978">
        <v>0</v>
      </c>
      <c r="C12" s="1979">
        <v>12</v>
      </c>
      <c r="D12" s="1979">
        <v>1986</v>
      </c>
      <c r="E12" s="1979">
        <v>222</v>
      </c>
      <c r="F12" s="1979">
        <v>2</v>
      </c>
      <c r="G12" s="1979">
        <v>5</v>
      </c>
      <c r="H12" s="1979">
        <v>0</v>
      </c>
      <c r="I12" s="1979">
        <v>0</v>
      </c>
      <c r="J12" s="1979">
        <v>0</v>
      </c>
      <c r="K12" s="1979">
        <v>10</v>
      </c>
      <c r="L12" s="1979">
        <v>0</v>
      </c>
      <c r="M12" s="1979">
        <v>0</v>
      </c>
      <c r="N12" s="1979">
        <v>2</v>
      </c>
      <c r="O12" s="1980">
        <v>31</v>
      </c>
      <c r="P12" s="1981">
        <f t="shared" si="0"/>
        <v>2239</v>
      </c>
      <c r="Q12" s="1982">
        <v>21527</v>
      </c>
    </row>
    <row r="13" spans="1:17" ht="21" x14ac:dyDescent="0.2">
      <c r="A13" s="1967" t="s">
        <v>202</v>
      </c>
      <c r="B13" s="1978">
        <v>425</v>
      </c>
      <c r="C13" s="1979">
        <v>0</v>
      </c>
      <c r="D13" s="1979">
        <v>2587</v>
      </c>
      <c r="E13" s="1979">
        <v>0</v>
      </c>
      <c r="F13" s="1979">
        <v>0</v>
      </c>
      <c r="G13" s="1979">
        <v>102</v>
      </c>
      <c r="H13" s="1979">
        <v>0</v>
      </c>
      <c r="I13" s="1979">
        <v>0</v>
      </c>
      <c r="J13" s="1979">
        <v>0</v>
      </c>
      <c r="K13" s="1979">
        <v>50</v>
      </c>
      <c r="L13" s="1979">
        <v>7</v>
      </c>
      <c r="M13" s="1979">
        <v>0</v>
      </c>
      <c r="N13" s="1979">
        <v>0</v>
      </c>
      <c r="O13" s="1980">
        <v>81</v>
      </c>
      <c r="P13" s="1981">
        <v>3252</v>
      </c>
      <c r="Q13" s="1982">
        <v>15387</v>
      </c>
    </row>
    <row r="14" spans="1:17" ht="21" x14ac:dyDescent="0.2">
      <c r="A14" s="1967" t="s">
        <v>199</v>
      </c>
      <c r="B14" s="1978">
        <v>31</v>
      </c>
      <c r="C14" s="1979">
        <v>344</v>
      </c>
      <c r="D14" s="1979">
        <v>50</v>
      </c>
      <c r="E14" s="1979">
        <v>870</v>
      </c>
      <c r="F14" s="1979">
        <v>24</v>
      </c>
      <c r="G14" s="1979">
        <v>88</v>
      </c>
      <c r="H14" s="1979">
        <v>0</v>
      </c>
      <c r="I14" s="1979">
        <v>0</v>
      </c>
      <c r="J14" s="1979">
        <v>0</v>
      </c>
      <c r="K14" s="1979">
        <v>27</v>
      </c>
      <c r="L14" s="1979">
        <v>0</v>
      </c>
      <c r="M14" s="1979">
        <v>5</v>
      </c>
      <c r="N14" s="1979">
        <v>5</v>
      </c>
      <c r="O14" s="1980">
        <v>95</v>
      </c>
      <c r="P14" s="1981">
        <f t="shared" si="0"/>
        <v>1444</v>
      </c>
      <c r="Q14" s="1982">
        <v>8782</v>
      </c>
    </row>
    <row r="15" spans="1:17" ht="21" x14ac:dyDescent="0.2">
      <c r="A15" s="1967" t="s">
        <v>1826</v>
      </c>
      <c r="B15" s="1978">
        <v>1206</v>
      </c>
      <c r="C15" s="1979">
        <v>1410</v>
      </c>
      <c r="D15" s="1979">
        <v>795</v>
      </c>
      <c r="E15" s="1979">
        <v>231</v>
      </c>
      <c r="F15" s="1979">
        <v>0</v>
      </c>
      <c r="G15" s="1979">
        <v>16</v>
      </c>
      <c r="H15" s="1979">
        <v>61</v>
      </c>
      <c r="I15" s="1979">
        <v>8</v>
      </c>
      <c r="J15" s="1979">
        <v>0</v>
      </c>
      <c r="K15" s="1979">
        <v>16</v>
      </c>
      <c r="L15" s="1979">
        <v>0</v>
      </c>
      <c r="M15" s="1979">
        <v>0</v>
      </c>
      <c r="N15" s="1979">
        <v>8</v>
      </c>
      <c r="O15" s="1980">
        <v>33</v>
      </c>
      <c r="P15" s="1981">
        <f t="shared" si="0"/>
        <v>3751</v>
      </c>
      <c r="Q15" s="1982">
        <v>18973</v>
      </c>
    </row>
    <row r="16" spans="1:17" ht="21" x14ac:dyDescent="0.2">
      <c r="A16" s="1967" t="s">
        <v>1827</v>
      </c>
      <c r="B16" s="1978">
        <v>0</v>
      </c>
      <c r="C16" s="1979">
        <v>50</v>
      </c>
      <c r="D16" s="1979">
        <v>175</v>
      </c>
      <c r="E16" s="1979">
        <v>0</v>
      </c>
      <c r="F16" s="1979">
        <v>0</v>
      </c>
      <c r="G16" s="1979">
        <v>0</v>
      </c>
      <c r="H16" s="1979">
        <v>0</v>
      </c>
      <c r="I16" s="1979">
        <v>0</v>
      </c>
      <c r="J16" s="1979">
        <v>0</v>
      </c>
      <c r="K16" s="1979">
        <v>40</v>
      </c>
      <c r="L16" s="1979">
        <v>0</v>
      </c>
      <c r="M16" s="1979">
        <v>0</v>
      </c>
      <c r="N16" s="1979">
        <v>0</v>
      </c>
      <c r="O16" s="1980">
        <v>0</v>
      </c>
      <c r="P16" s="1981">
        <f t="shared" si="0"/>
        <v>265</v>
      </c>
      <c r="Q16" s="1982">
        <v>4377</v>
      </c>
    </row>
    <row r="17" spans="1:17" ht="21" x14ac:dyDescent="0.2">
      <c r="A17" s="1967" t="s">
        <v>110</v>
      </c>
      <c r="B17" s="1978">
        <v>450</v>
      </c>
      <c r="C17" s="1979">
        <v>302</v>
      </c>
      <c r="D17" s="1979">
        <v>142</v>
      </c>
      <c r="E17" s="1979">
        <v>197</v>
      </c>
      <c r="F17" s="1979">
        <v>4</v>
      </c>
      <c r="G17" s="1979">
        <v>4</v>
      </c>
      <c r="H17" s="1979">
        <v>8</v>
      </c>
      <c r="I17" s="1979">
        <v>1</v>
      </c>
      <c r="J17" s="1979">
        <v>0</v>
      </c>
      <c r="K17" s="1979">
        <v>8</v>
      </c>
      <c r="L17" s="1979">
        <v>1</v>
      </c>
      <c r="M17" s="1979">
        <v>1</v>
      </c>
      <c r="N17" s="1979">
        <v>6</v>
      </c>
      <c r="O17" s="1980">
        <v>31</v>
      </c>
      <c r="P17" s="1981">
        <f t="shared" si="0"/>
        <v>1124</v>
      </c>
      <c r="Q17" s="1982">
        <v>17972</v>
      </c>
    </row>
    <row r="18" spans="1:17" ht="21" x14ac:dyDescent="0.2">
      <c r="A18" s="1967" t="s">
        <v>112</v>
      </c>
      <c r="B18" s="1978">
        <v>3</v>
      </c>
      <c r="C18" s="1979">
        <v>55</v>
      </c>
      <c r="D18" s="1979">
        <v>263</v>
      </c>
      <c r="E18" s="1979">
        <v>248</v>
      </c>
      <c r="F18" s="1979">
        <v>6</v>
      </c>
      <c r="G18" s="1979">
        <v>0</v>
      </c>
      <c r="H18" s="1979">
        <v>1</v>
      </c>
      <c r="I18" s="1979">
        <v>22</v>
      </c>
      <c r="J18" s="1979">
        <v>0</v>
      </c>
      <c r="K18" s="1979">
        <v>0</v>
      </c>
      <c r="L18" s="1979">
        <v>3</v>
      </c>
      <c r="M18" s="1979">
        <v>0</v>
      </c>
      <c r="N18" s="1979">
        <v>0</v>
      </c>
      <c r="O18" s="1980">
        <v>1</v>
      </c>
      <c r="P18" s="1981">
        <f t="shared" si="0"/>
        <v>601</v>
      </c>
      <c r="Q18" s="1982">
        <v>5421</v>
      </c>
    </row>
    <row r="19" spans="1:17" ht="21" x14ac:dyDescent="0.2">
      <c r="A19" s="1967" t="s">
        <v>111</v>
      </c>
      <c r="B19" s="1978">
        <v>8</v>
      </c>
      <c r="C19" s="1979">
        <v>0</v>
      </c>
      <c r="D19" s="1979">
        <v>155</v>
      </c>
      <c r="E19" s="1979">
        <v>212</v>
      </c>
      <c r="F19" s="1979">
        <v>2</v>
      </c>
      <c r="G19" s="1979">
        <v>29</v>
      </c>
      <c r="H19" s="1979">
        <v>0</v>
      </c>
      <c r="I19" s="1979">
        <v>0</v>
      </c>
      <c r="J19" s="1979">
        <v>0</v>
      </c>
      <c r="K19" s="1979">
        <v>4</v>
      </c>
      <c r="L19" s="1979">
        <v>8</v>
      </c>
      <c r="M19" s="1979">
        <v>0</v>
      </c>
      <c r="N19" s="1979">
        <v>5</v>
      </c>
      <c r="O19" s="1980">
        <v>4</v>
      </c>
      <c r="P19" s="1981">
        <f t="shared" si="0"/>
        <v>423</v>
      </c>
      <c r="Q19" s="1982">
        <v>4212</v>
      </c>
    </row>
    <row r="20" spans="1:17" ht="21" x14ac:dyDescent="0.2">
      <c r="A20" s="1967" t="s">
        <v>96</v>
      </c>
      <c r="B20" s="1978">
        <v>19</v>
      </c>
      <c r="C20" s="1979">
        <v>179</v>
      </c>
      <c r="D20" s="1979">
        <v>2765</v>
      </c>
      <c r="E20" s="1979">
        <v>0</v>
      </c>
      <c r="F20" s="1979">
        <v>0</v>
      </c>
      <c r="G20" s="1979">
        <v>0</v>
      </c>
      <c r="H20" s="1979">
        <v>0</v>
      </c>
      <c r="I20" s="1979">
        <v>0</v>
      </c>
      <c r="J20" s="1979">
        <v>0</v>
      </c>
      <c r="K20" s="1979">
        <v>238</v>
      </c>
      <c r="L20" s="1979">
        <v>8</v>
      </c>
      <c r="M20" s="1979">
        <v>0</v>
      </c>
      <c r="N20" s="1979">
        <v>1</v>
      </c>
      <c r="O20" s="1980">
        <v>50</v>
      </c>
      <c r="P20" s="1981">
        <f t="shared" si="0"/>
        <v>3210</v>
      </c>
      <c r="Q20" s="1982">
        <v>24496.3</v>
      </c>
    </row>
    <row r="21" spans="1:17" ht="21" x14ac:dyDescent="0.2">
      <c r="A21" s="1967" t="s">
        <v>101</v>
      </c>
      <c r="B21" s="1983">
        <v>0</v>
      </c>
      <c r="C21" s="1984">
        <v>0</v>
      </c>
      <c r="D21" s="1984">
        <v>1784</v>
      </c>
      <c r="E21" s="1984">
        <v>0</v>
      </c>
      <c r="F21" s="1984">
        <v>2</v>
      </c>
      <c r="G21" s="1984">
        <v>2</v>
      </c>
      <c r="H21" s="1984">
        <v>0</v>
      </c>
      <c r="I21" s="1984">
        <v>0</v>
      </c>
      <c r="J21" s="1984">
        <v>0</v>
      </c>
      <c r="K21" s="1984">
        <v>11</v>
      </c>
      <c r="L21" s="1984">
        <v>0</v>
      </c>
      <c r="M21" s="1984">
        <v>0</v>
      </c>
      <c r="N21" s="1984">
        <v>0</v>
      </c>
      <c r="O21" s="1985">
        <v>48</v>
      </c>
      <c r="P21" s="1986">
        <f t="shared" si="0"/>
        <v>1799</v>
      </c>
      <c r="Q21" s="1987">
        <v>35906.100000000035</v>
      </c>
    </row>
    <row r="22" spans="1:17" ht="21" x14ac:dyDescent="0.2">
      <c r="A22" s="1967" t="s">
        <v>104</v>
      </c>
      <c r="B22" s="1983">
        <v>1</v>
      </c>
      <c r="C22" s="1984">
        <v>393</v>
      </c>
      <c r="D22" s="1984">
        <v>1200</v>
      </c>
      <c r="E22" s="1984">
        <v>0</v>
      </c>
      <c r="F22" s="1984">
        <v>1</v>
      </c>
      <c r="G22" s="1984">
        <v>1</v>
      </c>
      <c r="H22" s="1984">
        <v>0</v>
      </c>
      <c r="I22" s="1984">
        <v>0</v>
      </c>
      <c r="J22" s="1984">
        <v>0</v>
      </c>
      <c r="K22" s="1984">
        <v>0</v>
      </c>
      <c r="L22" s="1984">
        <v>1</v>
      </c>
      <c r="M22" s="1984">
        <v>0</v>
      </c>
      <c r="N22" s="1984">
        <v>32</v>
      </c>
      <c r="O22" s="1985">
        <v>0</v>
      </c>
      <c r="P22" s="1986">
        <f t="shared" si="0"/>
        <v>1629</v>
      </c>
      <c r="Q22" s="1986">
        <v>26069</v>
      </c>
    </row>
    <row r="23" spans="1:17" ht="21" x14ac:dyDescent="0.2">
      <c r="A23" s="1967" t="s">
        <v>588</v>
      </c>
      <c r="B23" s="1983">
        <v>166</v>
      </c>
      <c r="C23" s="1984">
        <v>5</v>
      </c>
      <c r="D23" s="1984">
        <v>45</v>
      </c>
      <c r="E23" s="1984">
        <v>0</v>
      </c>
      <c r="F23" s="1984">
        <v>0</v>
      </c>
      <c r="G23" s="1984">
        <v>0</v>
      </c>
      <c r="H23" s="1984">
        <v>0</v>
      </c>
      <c r="I23" s="1984">
        <v>105</v>
      </c>
      <c r="J23" s="1984">
        <v>0</v>
      </c>
      <c r="K23" s="1984">
        <v>227</v>
      </c>
      <c r="L23" s="1984">
        <v>179</v>
      </c>
      <c r="M23" s="1984">
        <v>127</v>
      </c>
      <c r="N23" s="1984">
        <v>0</v>
      </c>
      <c r="O23" s="1985">
        <v>50</v>
      </c>
      <c r="P23" s="1986">
        <f t="shared" si="0"/>
        <v>854</v>
      </c>
      <c r="Q23" s="1986">
        <v>8872</v>
      </c>
    </row>
    <row r="24" spans="1:17" ht="21.75" thickBot="1" x14ac:dyDescent="0.25">
      <c r="A24" s="1968" t="s">
        <v>109</v>
      </c>
      <c r="B24" s="1988">
        <v>63</v>
      </c>
      <c r="C24" s="1989">
        <v>466</v>
      </c>
      <c r="D24" s="1989">
        <v>321</v>
      </c>
      <c r="E24" s="1989">
        <v>0</v>
      </c>
      <c r="F24" s="1989">
        <v>0</v>
      </c>
      <c r="G24" s="1989">
        <v>0</v>
      </c>
      <c r="H24" s="1989">
        <v>0</v>
      </c>
      <c r="I24" s="1989">
        <v>0</v>
      </c>
      <c r="J24" s="1989">
        <v>0</v>
      </c>
      <c r="K24" s="1989">
        <v>0</v>
      </c>
      <c r="L24" s="1989">
        <v>0</v>
      </c>
      <c r="M24" s="1989">
        <v>0</v>
      </c>
      <c r="N24" s="1989">
        <v>8</v>
      </c>
      <c r="O24" s="1989">
        <v>29</v>
      </c>
      <c r="P24" s="1986">
        <f t="shared" si="0"/>
        <v>858</v>
      </c>
      <c r="Q24" s="1986">
        <v>9200</v>
      </c>
    </row>
    <row r="25" spans="1:17" ht="30" thickBot="1" x14ac:dyDescent="0.25">
      <c r="A25" s="1969" t="s">
        <v>33</v>
      </c>
      <c r="B25" s="1970">
        <f t="shared" ref="B25:Q25" si="1">SUM(B4:B24)</f>
        <v>3657</v>
      </c>
      <c r="C25" s="1970">
        <f t="shared" si="1"/>
        <v>5876</v>
      </c>
      <c r="D25" s="1970">
        <f t="shared" si="1"/>
        <v>17990</v>
      </c>
      <c r="E25" s="1970">
        <f t="shared" si="1"/>
        <v>2995</v>
      </c>
      <c r="F25" s="1970">
        <f t="shared" si="1"/>
        <v>186</v>
      </c>
      <c r="G25" s="1970">
        <f t="shared" si="1"/>
        <v>330</v>
      </c>
      <c r="H25" s="1970">
        <f t="shared" si="1"/>
        <v>70</v>
      </c>
      <c r="I25" s="1970">
        <f t="shared" si="1"/>
        <v>139</v>
      </c>
      <c r="J25" s="1970">
        <f t="shared" si="1"/>
        <v>0</v>
      </c>
      <c r="K25" s="1970">
        <f t="shared" si="1"/>
        <v>1184</v>
      </c>
      <c r="L25" s="1970">
        <f t="shared" si="1"/>
        <v>231</v>
      </c>
      <c r="M25" s="1970">
        <f t="shared" si="1"/>
        <v>139</v>
      </c>
      <c r="N25" s="1970">
        <f t="shared" si="1"/>
        <v>78</v>
      </c>
      <c r="O25" s="1970">
        <f t="shared" si="1"/>
        <v>668</v>
      </c>
      <c r="P25" s="1971">
        <f t="shared" si="1"/>
        <v>32956</v>
      </c>
      <c r="Q25" s="1972">
        <f t="shared" si="1"/>
        <v>314887.40000000002</v>
      </c>
    </row>
    <row r="26" spans="1:17" ht="21" x14ac:dyDescent="0.2">
      <c r="A26" s="3117" t="s">
        <v>1828</v>
      </c>
      <c r="B26" s="3117"/>
      <c r="C26" s="3117"/>
      <c r="D26" s="3117"/>
      <c r="E26" s="3117"/>
      <c r="F26" s="3117"/>
      <c r="G26" s="3117"/>
      <c r="H26" s="3117"/>
      <c r="I26" s="3117"/>
      <c r="J26" s="3117"/>
      <c r="K26" s="3117"/>
      <c r="L26" s="3117"/>
      <c r="M26" s="3117"/>
      <c r="N26" s="3117"/>
      <c r="O26" s="3117"/>
      <c r="P26" s="3117"/>
      <c r="Q26" s="3117"/>
    </row>
    <row r="27" spans="1:17" ht="18" x14ac:dyDescent="0.2">
      <c r="A27" s="2961" t="s">
        <v>1631</v>
      </c>
      <c r="B27" s="2962"/>
      <c r="C27" s="2962"/>
      <c r="D27" s="2962"/>
      <c r="E27" s="2962"/>
      <c r="F27" s="2962"/>
      <c r="G27" s="2962"/>
      <c r="H27" s="2962"/>
    </row>
  </sheetData>
  <mergeCells count="7">
    <mergeCell ref="A27:H27"/>
    <mergeCell ref="A1:Q1"/>
    <mergeCell ref="A2:A3"/>
    <mergeCell ref="J2:J3"/>
    <mergeCell ref="P2:P3"/>
    <mergeCell ref="Q2:Q3"/>
    <mergeCell ref="A26:Q2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FF00"/>
  </sheetPr>
  <dimension ref="A1:T21"/>
  <sheetViews>
    <sheetView rightToLeft="1" zoomScale="80" zoomScaleNormal="80" workbookViewId="0">
      <pane ySplit="2" topLeftCell="A3" activePane="bottomLeft" state="frozen"/>
      <selection activeCell="C20" sqref="C20"/>
      <selection pane="bottomLeft" activeCell="A2" sqref="A2"/>
    </sheetView>
  </sheetViews>
  <sheetFormatPr defaultColWidth="9.125" defaultRowHeight="15.75" x14ac:dyDescent="0.2"/>
  <cols>
    <col min="1" max="1" width="30" style="140" customWidth="1"/>
    <col min="2" max="2" width="17.625" style="140" customWidth="1"/>
    <col min="3" max="4" width="15.125" style="140" customWidth="1"/>
    <col min="5" max="6" width="15" style="140" customWidth="1"/>
    <col min="7" max="7" width="2.5" style="140" hidden="1" customWidth="1"/>
    <col min="8" max="8" width="7.25" style="140" hidden="1" customWidth="1"/>
    <col min="9" max="14" width="0" style="140" hidden="1" customWidth="1"/>
    <col min="15" max="17" width="9.125" style="140"/>
    <col min="18" max="18" width="9.125" style="140" hidden="1" customWidth="1"/>
    <col min="19" max="20" width="0" style="140" hidden="1" customWidth="1"/>
    <col min="21" max="16384" width="9.125" style="140"/>
  </cols>
  <sheetData>
    <row r="1" spans="1:20" ht="39" customHeight="1" thickBot="1" x14ac:dyDescent="0.25">
      <c r="A1" s="3121" t="s">
        <v>1923</v>
      </c>
      <c r="B1" s="3121"/>
      <c r="C1" s="3121"/>
      <c r="D1" s="3121"/>
      <c r="E1" s="3121"/>
      <c r="F1" s="3121"/>
    </row>
    <row r="2" spans="1:20" ht="83.25" customHeight="1" thickBot="1" x14ac:dyDescent="0.25">
      <c r="A2" s="1139" t="s">
        <v>1224</v>
      </c>
      <c r="B2" s="1140" t="s">
        <v>1424</v>
      </c>
      <c r="C2" s="1141" t="s">
        <v>1425</v>
      </c>
      <c r="D2" s="1141" t="s">
        <v>1226</v>
      </c>
      <c r="E2" s="1140" t="s">
        <v>1426</v>
      </c>
      <c r="F2" s="1142" t="s">
        <v>1427</v>
      </c>
    </row>
    <row r="3" spans="1:20" ht="24.75" customHeight="1" x14ac:dyDescent="0.2">
      <c r="A3" s="1143" t="s">
        <v>1228</v>
      </c>
      <c r="B3" s="1144">
        <v>950</v>
      </c>
      <c r="C3" s="1145">
        <v>13</v>
      </c>
      <c r="D3" s="1144">
        <v>7.76</v>
      </c>
      <c r="E3" s="1146">
        <f t="shared" ref="E3:E14" si="0">R3/D3</f>
        <v>84985.824742268043</v>
      </c>
      <c r="F3" s="1038" t="s">
        <v>1428</v>
      </c>
      <c r="H3" s="1147">
        <v>7.97</v>
      </c>
      <c r="I3" s="3122" t="s">
        <v>1429</v>
      </c>
      <c r="J3" s="3123"/>
      <c r="L3" s="1148" t="e">
        <f>+H3*#REF!</f>
        <v>#REF!</v>
      </c>
      <c r="N3" s="140">
        <f t="shared" ref="N3:N8" si="1">+E3*C3</f>
        <v>1104815.7216494845</v>
      </c>
      <c r="R3" s="1149">
        <v>659490</v>
      </c>
    </row>
    <row r="4" spans="1:20" ht="24.75" customHeight="1" x14ac:dyDescent="0.2">
      <c r="A4" s="1150" t="s">
        <v>1230</v>
      </c>
      <c r="B4" s="1151">
        <v>1425</v>
      </c>
      <c r="C4" s="1152">
        <v>125</v>
      </c>
      <c r="D4" s="1151">
        <v>70.28</v>
      </c>
      <c r="E4" s="1153">
        <f t="shared" si="0"/>
        <v>88330.919180421173</v>
      </c>
      <c r="F4" s="1050" t="s">
        <v>1428</v>
      </c>
      <c r="H4" s="1154">
        <v>73.209999999999994</v>
      </c>
      <c r="I4" s="3118" t="s">
        <v>1430</v>
      </c>
      <c r="J4" s="3119"/>
      <c r="L4" s="1148" t="e">
        <f>+H4*#REF!</f>
        <v>#REF!</v>
      </c>
      <c r="N4" s="140">
        <f t="shared" si="1"/>
        <v>11041364.897552647</v>
      </c>
      <c r="R4" s="1149">
        <v>6207897</v>
      </c>
    </row>
    <row r="5" spans="1:20" ht="24.75" customHeight="1" x14ac:dyDescent="0.2">
      <c r="A5" s="1150" t="s">
        <v>1232</v>
      </c>
      <c r="B5" s="1151">
        <v>950</v>
      </c>
      <c r="C5" s="1152">
        <v>2</v>
      </c>
      <c r="D5" s="1151">
        <v>1.99</v>
      </c>
      <c r="E5" s="1153">
        <f t="shared" si="0"/>
        <v>87557.788944723623</v>
      </c>
      <c r="F5" s="1050" t="s">
        <v>1428</v>
      </c>
      <c r="H5" s="1154">
        <v>1.79</v>
      </c>
      <c r="I5" s="3118" t="s">
        <v>1431</v>
      </c>
      <c r="J5" s="3119"/>
      <c r="L5" s="1148" t="e">
        <f>+H5*#REF!</f>
        <v>#REF!</v>
      </c>
      <c r="N5" s="140">
        <f t="shared" si="1"/>
        <v>175115.57788944725</v>
      </c>
      <c r="R5" s="1149">
        <v>174240</v>
      </c>
    </row>
    <row r="6" spans="1:20" ht="24.75" customHeight="1" x14ac:dyDescent="0.2">
      <c r="A6" s="1150" t="s">
        <v>1234</v>
      </c>
      <c r="B6" s="1151">
        <v>1050</v>
      </c>
      <c r="C6" s="1152">
        <v>38</v>
      </c>
      <c r="D6" s="1151">
        <v>16.29</v>
      </c>
      <c r="E6" s="1153">
        <f t="shared" si="0"/>
        <v>85657.458563535911</v>
      </c>
      <c r="F6" s="1050" t="s">
        <v>1428</v>
      </c>
      <c r="H6" s="1154">
        <v>17.34</v>
      </c>
      <c r="I6" s="3118" t="s">
        <v>1432</v>
      </c>
      <c r="J6" s="3119"/>
      <c r="L6" s="1148" t="e">
        <f>+H6*#REF!</f>
        <v>#REF!</v>
      </c>
      <c r="N6" s="140">
        <f t="shared" si="1"/>
        <v>3254983.4254143648</v>
      </c>
      <c r="R6" s="1149">
        <v>1395360</v>
      </c>
    </row>
    <row r="7" spans="1:20" ht="24.75" customHeight="1" x14ac:dyDescent="0.2">
      <c r="A7" s="1150" t="s">
        <v>1231</v>
      </c>
      <c r="B7" s="1017">
        <v>1950</v>
      </c>
      <c r="C7" s="1152">
        <v>20</v>
      </c>
      <c r="D7" s="1151">
        <v>0.56999999999999995</v>
      </c>
      <c r="E7" s="1153">
        <f t="shared" si="0"/>
        <v>86470.175438596503</v>
      </c>
      <c r="F7" s="1050" t="s">
        <v>1428</v>
      </c>
      <c r="H7" s="1154">
        <v>0.86</v>
      </c>
      <c r="I7" s="3118" t="s">
        <v>1433</v>
      </c>
      <c r="J7" s="3119"/>
      <c r="L7" s="1148" t="e">
        <f>+H7*#REF!</f>
        <v>#REF!</v>
      </c>
      <c r="N7" s="140">
        <f t="shared" si="1"/>
        <v>1729403.5087719301</v>
      </c>
      <c r="R7" s="1149">
        <v>49288</v>
      </c>
    </row>
    <row r="8" spans="1:20" ht="24.75" customHeight="1" thickBot="1" x14ac:dyDescent="0.25">
      <c r="A8" s="1155" t="s">
        <v>1233</v>
      </c>
      <c r="B8" s="1156">
        <v>1650</v>
      </c>
      <c r="C8" s="1157">
        <v>39</v>
      </c>
      <c r="D8" s="1156">
        <v>23.64</v>
      </c>
      <c r="E8" s="1158">
        <f t="shared" si="0"/>
        <v>88547.673434856173</v>
      </c>
      <c r="F8" s="1159" t="s">
        <v>1428</v>
      </c>
      <c r="H8" s="1154">
        <v>18.66</v>
      </c>
      <c r="I8" s="3118" t="s">
        <v>1434</v>
      </c>
      <c r="J8" s="3119"/>
      <c r="L8" s="1148" t="e">
        <f>+H8*#REF!</f>
        <v>#REF!</v>
      </c>
      <c r="N8" s="140">
        <f t="shared" si="1"/>
        <v>3453359.2639593906</v>
      </c>
      <c r="R8" s="1149">
        <v>2093267</v>
      </c>
      <c r="T8" s="140">
        <f>SUM(R3:R8)</f>
        <v>10579542</v>
      </c>
    </row>
    <row r="9" spans="1:20" ht="24.75" customHeight="1" x14ac:dyDescent="0.2">
      <c r="A9" s="1160" t="s">
        <v>1193</v>
      </c>
      <c r="B9" s="1161">
        <v>3300</v>
      </c>
      <c r="C9" s="1161">
        <v>344</v>
      </c>
      <c r="D9" s="1162">
        <v>199.64000000000001</v>
      </c>
      <c r="E9" s="1153">
        <f t="shared" si="0"/>
        <v>177175.80144259665</v>
      </c>
      <c r="F9" s="1163" t="s">
        <v>1235</v>
      </c>
      <c r="H9" s="1154"/>
      <c r="I9" s="1164"/>
      <c r="J9" s="1165"/>
      <c r="L9" s="1148"/>
      <c r="R9" s="1149">
        <v>35371377</v>
      </c>
    </row>
    <row r="10" spans="1:20" ht="24.75" customHeight="1" x14ac:dyDescent="0.2">
      <c r="A10" s="1166" t="s">
        <v>1435</v>
      </c>
      <c r="B10" s="1017">
        <v>3300</v>
      </c>
      <c r="C10" s="1152">
        <v>150</v>
      </c>
      <c r="D10" s="1151">
        <v>75.150000000000006</v>
      </c>
      <c r="E10" s="1153">
        <f t="shared" si="0"/>
        <v>377289.40785096469</v>
      </c>
      <c r="F10" s="1050" t="s">
        <v>1192</v>
      </c>
      <c r="H10" s="1167">
        <v>2.59</v>
      </c>
      <c r="I10" s="813" t="s">
        <v>1436</v>
      </c>
      <c r="L10" s="1148" t="e">
        <f>+H10*#REF!</f>
        <v>#REF!</v>
      </c>
      <c r="N10" s="140">
        <f>+E10*C10</f>
        <v>56593411.177644707</v>
      </c>
      <c r="R10" s="1149">
        <v>28353299</v>
      </c>
    </row>
    <row r="11" spans="1:20" ht="24.75" customHeight="1" x14ac:dyDescent="0.2">
      <c r="A11" s="1150" t="s">
        <v>1239</v>
      </c>
      <c r="B11" s="1151">
        <v>4700</v>
      </c>
      <c r="C11" s="1152">
        <v>8</v>
      </c>
      <c r="D11" s="1151">
        <v>4.91</v>
      </c>
      <c r="E11" s="1153">
        <f t="shared" si="0"/>
        <v>50047.45417515275</v>
      </c>
      <c r="F11" s="1050" t="s">
        <v>1192</v>
      </c>
      <c r="H11" s="1154">
        <f>30.1+11.38</f>
        <v>41.480000000000004</v>
      </c>
      <c r="I11" s="3118" t="s">
        <v>1238</v>
      </c>
      <c r="J11" s="3119"/>
      <c r="L11" s="1148" t="e">
        <f>+H11*#REF!</f>
        <v>#REF!</v>
      </c>
      <c r="N11" s="140">
        <f>+E11*C11</f>
        <v>400379.633401222</v>
      </c>
      <c r="R11" s="1149">
        <v>245733</v>
      </c>
    </row>
    <row r="12" spans="1:20" ht="24.75" customHeight="1" x14ac:dyDescent="0.5">
      <c r="A12" s="1150" t="s">
        <v>1238</v>
      </c>
      <c r="B12" s="1151">
        <v>3250</v>
      </c>
      <c r="C12" s="1152">
        <v>60</v>
      </c>
      <c r="D12" s="1151">
        <v>32.03</v>
      </c>
      <c r="E12" s="1153">
        <f t="shared" si="0"/>
        <v>128144.52076178583</v>
      </c>
      <c r="F12" s="1050" t="s">
        <v>1192</v>
      </c>
      <c r="H12" s="1154">
        <v>41.24</v>
      </c>
      <c r="I12" s="3118" t="s">
        <v>1237</v>
      </c>
      <c r="J12" s="3119"/>
      <c r="L12" s="1148" t="e">
        <f>+H12*#REF!</f>
        <v>#REF!</v>
      </c>
      <c r="N12" s="140">
        <f>+E12*C12</f>
        <v>7688671.2457071496</v>
      </c>
      <c r="R12" s="682">
        <v>4104469</v>
      </c>
    </row>
    <row r="13" spans="1:20" ht="24.75" customHeight="1" x14ac:dyDescent="0.2">
      <c r="A13" s="1150" t="s">
        <v>1237</v>
      </c>
      <c r="B13" s="1151">
        <v>4300</v>
      </c>
      <c r="C13" s="1152">
        <v>99</v>
      </c>
      <c r="D13" s="1151">
        <v>27.86</v>
      </c>
      <c r="E13" s="1153">
        <f t="shared" si="0"/>
        <v>127610.94759511846</v>
      </c>
      <c r="F13" s="1050" t="s">
        <v>1235</v>
      </c>
      <c r="H13" s="1154"/>
      <c r="I13" s="3118"/>
      <c r="J13" s="3119"/>
      <c r="L13" s="1148"/>
      <c r="R13" s="1149">
        <v>3555241</v>
      </c>
    </row>
    <row r="14" spans="1:20" ht="24.75" customHeight="1" x14ac:dyDescent="0.2">
      <c r="A14" s="1150" t="s">
        <v>1206</v>
      </c>
      <c r="B14" s="1151">
        <v>5000</v>
      </c>
      <c r="C14" s="1152">
        <v>31</v>
      </c>
      <c r="D14" s="1151">
        <v>17.72</v>
      </c>
      <c r="E14" s="1153">
        <f t="shared" si="0"/>
        <v>132839.55981941309</v>
      </c>
      <c r="F14" s="1050" t="s">
        <v>1235</v>
      </c>
      <c r="H14" s="1154"/>
      <c r="I14" s="3118"/>
      <c r="J14" s="3119"/>
      <c r="L14" s="1148"/>
      <c r="R14" s="1149">
        <v>2353917</v>
      </c>
    </row>
    <row r="15" spans="1:20" ht="24.75" customHeight="1" x14ac:dyDescent="0.2">
      <c r="A15" s="1150" t="s">
        <v>1208</v>
      </c>
      <c r="B15" s="1151">
        <v>4000</v>
      </c>
      <c r="C15" s="1152">
        <v>1</v>
      </c>
      <c r="D15" s="1151">
        <v>0</v>
      </c>
      <c r="E15" s="1153">
        <v>0</v>
      </c>
      <c r="F15" s="1050" t="s">
        <v>1192</v>
      </c>
      <c r="H15" s="1154">
        <v>0</v>
      </c>
      <c r="I15" s="3118" t="s">
        <v>1437</v>
      </c>
      <c r="J15" s="3119"/>
      <c r="L15" s="1148" t="e">
        <f>+H15*#REF!</f>
        <v>#REF!</v>
      </c>
      <c r="N15" s="140">
        <f>+E15*C15</f>
        <v>0</v>
      </c>
      <c r="R15" s="1149">
        <v>0</v>
      </c>
    </row>
    <row r="16" spans="1:20" ht="24.75" customHeight="1" x14ac:dyDescent="0.2">
      <c r="A16" s="1150" t="s">
        <v>1201</v>
      </c>
      <c r="B16" s="1151">
        <v>3300</v>
      </c>
      <c r="C16" s="1152">
        <v>77</v>
      </c>
      <c r="D16" s="1151">
        <v>45.15</v>
      </c>
      <c r="E16" s="1153">
        <f>R16/D16</f>
        <v>158818.62679955704</v>
      </c>
      <c r="F16" s="1050" t="s">
        <v>1192</v>
      </c>
      <c r="H16" s="1154"/>
      <c r="I16" s="3118"/>
      <c r="J16" s="3119"/>
      <c r="L16" s="1148"/>
      <c r="R16" s="1149">
        <v>7170661</v>
      </c>
    </row>
    <row r="17" spans="1:20" ht="24.75" customHeight="1" x14ac:dyDescent="0.2">
      <c r="A17" s="1150" t="s">
        <v>1438</v>
      </c>
      <c r="B17" s="1151">
        <v>2460</v>
      </c>
      <c r="C17" s="1152">
        <v>10</v>
      </c>
      <c r="D17" s="1151">
        <v>0</v>
      </c>
      <c r="E17" s="1153">
        <v>0</v>
      </c>
      <c r="F17" s="1050" t="s">
        <v>1192</v>
      </c>
      <c r="H17" s="1154">
        <v>1.1399999999999999</v>
      </c>
      <c r="I17" s="3118" t="s">
        <v>1439</v>
      </c>
      <c r="J17" s="3119"/>
      <c r="L17" s="1148" t="e">
        <f>+H17*#REF!</f>
        <v>#REF!</v>
      </c>
      <c r="N17" s="140">
        <f>+E17*C17</f>
        <v>0</v>
      </c>
      <c r="R17" s="1149">
        <v>0</v>
      </c>
    </row>
    <row r="18" spans="1:20" ht="24.75" customHeight="1" x14ac:dyDescent="0.2">
      <c r="A18" s="1150" t="s">
        <v>1440</v>
      </c>
      <c r="B18" s="1151">
        <v>2300</v>
      </c>
      <c r="C18" s="1152">
        <v>10</v>
      </c>
      <c r="D18" s="1151">
        <v>0</v>
      </c>
      <c r="E18" s="1153">
        <v>0</v>
      </c>
      <c r="F18" s="1050" t="s">
        <v>1192</v>
      </c>
      <c r="H18" s="1154"/>
      <c r="I18" s="3118"/>
      <c r="J18" s="3119"/>
      <c r="L18" s="1148"/>
      <c r="N18" s="140">
        <f>+E18*C18</f>
        <v>0</v>
      </c>
      <c r="R18" s="1149">
        <v>0</v>
      </c>
    </row>
    <row r="19" spans="1:20" ht="24.75" customHeight="1" thickBot="1" x14ac:dyDescent="0.25">
      <c r="A19" s="1168" t="s">
        <v>1194</v>
      </c>
      <c r="B19" s="1169">
        <v>4000</v>
      </c>
      <c r="C19" s="1157">
        <v>6</v>
      </c>
      <c r="D19" s="1156">
        <v>0.66</v>
      </c>
      <c r="E19" s="1153">
        <f>R19/D19</f>
        <v>154574.24242424243</v>
      </c>
      <c r="F19" s="1159" t="s">
        <v>1192</v>
      </c>
      <c r="H19" s="1154">
        <v>8.3800000000000008</v>
      </c>
      <c r="I19" s="813" t="s">
        <v>1441</v>
      </c>
      <c r="L19" s="1148" t="e">
        <f>+H19*#REF!</f>
        <v>#REF!</v>
      </c>
      <c r="N19" s="140">
        <f>+E19*C19</f>
        <v>927445.45454545459</v>
      </c>
      <c r="R19" s="1149">
        <v>102019</v>
      </c>
      <c r="T19" s="140">
        <f>SUM(R9:R19)</f>
        <v>81256716</v>
      </c>
    </row>
    <row r="20" spans="1:20" ht="24.75" customHeight="1" thickBot="1" x14ac:dyDescent="0.25">
      <c r="A20" s="1170" t="s">
        <v>529</v>
      </c>
      <c r="B20" s="1171" t="s">
        <v>25</v>
      </c>
      <c r="C20" s="1171">
        <f>SUM(C3:C19)</f>
        <v>1033</v>
      </c>
      <c r="D20" s="1171">
        <f>SUM(D3:D19)</f>
        <v>523.65000000000009</v>
      </c>
      <c r="E20" s="1172" t="s">
        <v>25</v>
      </c>
      <c r="F20" s="1173" t="s">
        <v>25</v>
      </c>
    </row>
    <row r="21" spans="1:20" ht="26.25" customHeight="1" x14ac:dyDescent="0.2">
      <c r="A21" s="3120" t="s">
        <v>1442</v>
      </c>
      <c r="B21" s="3120"/>
      <c r="C21" s="3120"/>
      <c r="D21" s="3120"/>
      <c r="E21" s="3120"/>
      <c r="F21" s="3120"/>
    </row>
  </sheetData>
  <mergeCells count="16">
    <mergeCell ref="I7:J7"/>
    <mergeCell ref="A1:F1"/>
    <mergeCell ref="I3:J3"/>
    <mergeCell ref="I4:J4"/>
    <mergeCell ref="I5:J5"/>
    <mergeCell ref="I6:J6"/>
    <mergeCell ref="I16:J16"/>
    <mergeCell ref="I17:J17"/>
    <mergeCell ref="I18:J18"/>
    <mergeCell ref="A21:F21"/>
    <mergeCell ref="I8:J8"/>
    <mergeCell ref="I11:J11"/>
    <mergeCell ref="I12:J12"/>
    <mergeCell ref="I13:J13"/>
    <mergeCell ref="I14:J14"/>
    <mergeCell ref="I15:J15"/>
  </mergeCells>
  <printOptions horizontalCentered="1" verticalCentered="1"/>
  <pageMargins left="0.74803149606299213" right="0.74803149606299213" top="0.39370078740157483" bottom="0.39370078740157483" header="0.51181102362204722" footer="0.51181102362204722"/>
  <pageSetup paperSize="9" scale="70" orientation="portrait" r:id="rId1"/>
  <headerFooter alignWithMargins="0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FFFF00"/>
  </sheetPr>
  <dimension ref="B2:V33"/>
  <sheetViews>
    <sheetView rightToLeft="1" zoomScale="90" zoomScaleNormal="90" workbookViewId="0">
      <selection activeCell="B2" sqref="B2:F2"/>
    </sheetView>
  </sheetViews>
  <sheetFormatPr defaultColWidth="9.125" defaultRowHeight="15.75" x14ac:dyDescent="0.2"/>
  <cols>
    <col min="1" max="1" width="9.125" style="39"/>
    <col min="2" max="2" width="31.625" style="39" customWidth="1"/>
    <col min="3" max="3" width="17.875" style="39" customWidth="1"/>
    <col min="4" max="5" width="14.875" style="39" customWidth="1"/>
    <col min="6" max="6" width="13.75" style="39" customWidth="1"/>
    <col min="7" max="16384" width="9.125" style="39"/>
  </cols>
  <sheetData>
    <row r="2" spans="2:22" ht="32.25" customHeight="1" x14ac:dyDescent="0.2">
      <c r="B2" s="3124" t="s">
        <v>1924</v>
      </c>
      <c r="C2" s="3124"/>
      <c r="D2" s="3124"/>
      <c r="E2" s="3124"/>
      <c r="F2" s="3124"/>
    </row>
    <row r="3" spans="2:22" s="1726" customFormat="1" ht="18.75" customHeight="1" thickBot="1" x14ac:dyDescent="0.25">
      <c r="B3" s="2051"/>
      <c r="C3" s="2051"/>
      <c r="D3" s="2051"/>
      <c r="E3" s="2051"/>
      <c r="F3" s="2052" t="s">
        <v>1925</v>
      </c>
    </row>
    <row r="4" spans="2:22" ht="34.5" customHeight="1" thickBot="1" x14ac:dyDescent="0.25">
      <c r="B4" s="2044" t="s">
        <v>1224</v>
      </c>
      <c r="C4" s="2040" t="s">
        <v>1211</v>
      </c>
      <c r="D4" s="2029" t="s">
        <v>1225</v>
      </c>
      <c r="E4" s="2030" t="s">
        <v>1226</v>
      </c>
      <c r="F4" s="2031" t="s">
        <v>1227</v>
      </c>
    </row>
    <row r="5" spans="2:22" ht="22.5" x14ac:dyDescent="0.2">
      <c r="B5" s="2045" t="s">
        <v>1228</v>
      </c>
      <c r="C5" s="2041" t="s">
        <v>1128</v>
      </c>
      <c r="D5" s="2036">
        <v>13</v>
      </c>
      <c r="E5" s="1146">
        <v>7.36</v>
      </c>
      <c r="F5" s="2037" t="s">
        <v>1229</v>
      </c>
      <c r="G5" s="1018"/>
    </row>
    <row r="6" spans="2:22" ht="22.5" x14ac:dyDescent="0.2">
      <c r="B6" s="2046" t="s">
        <v>1230</v>
      </c>
      <c r="C6" s="2042" t="s">
        <v>1128</v>
      </c>
      <c r="D6" s="1016">
        <v>125</v>
      </c>
      <c r="E6" s="1017">
        <v>72.430000000000007</v>
      </c>
      <c r="F6" s="2038" t="s">
        <v>1229</v>
      </c>
      <c r="G6" s="1018"/>
    </row>
    <row r="7" spans="2:22" ht="22.5" x14ac:dyDescent="0.2">
      <c r="B7" s="2046" t="s">
        <v>1231</v>
      </c>
      <c r="C7" s="2042" t="s">
        <v>1128</v>
      </c>
      <c r="D7" s="1016">
        <v>20</v>
      </c>
      <c r="E7" s="1017">
        <v>1</v>
      </c>
      <c r="F7" s="2038" t="s">
        <v>1229</v>
      </c>
      <c r="G7" s="1018"/>
    </row>
    <row r="8" spans="2:22" ht="22.5" x14ac:dyDescent="0.2">
      <c r="B8" s="2046" t="s">
        <v>1232</v>
      </c>
      <c r="C8" s="2042" t="s">
        <v>1128</v>
      </c>
      <c r="D8" s="1016">
        <v>2</v>
      </c>
      <c r="E8" s="1017">
        <v>2</v>
      </c>
      <c r="F8" s="2038" t="s">
        <v>1229</v>
      </c>
      <c r="G8" s="1018"/>
    </row>
    <row r="9" spans="2:22" ht="22.5" x14ac:dyDescent="0.2">
      <c r="B9" s="2046" t="s">
        <v>1233</v>
      </c>
      <c r="C9" s="2042" t="s">
        <v>1128</v>
      </c>
      <c r="D9" s="1016">
        <v>39</v>
      </c>
      <c r="E9" s="1017">
        <v>25.46</v>
      </c>
      <c r="F9" s="2038" t="s">
        <v>1229</v>
      </c>
      <c r="G9" s="1018"/>
    </row>
    <row r="10" spans="2:22" ht="22.5" x14ac:dyDescent="0.2">
      <c r="B10" s="2046" t="s">
        <v>1234</v>
      </c>
      <c r="C10" s="2042" t="s">
        <v>1128</v>
      </c>
      <c r="D10" s="1016">
        <v>38</v>
      </c>
      <c r="E10" s="1017">
        <v>17.13</v>
      </c>
      <c r="F10" s="2038" t="s">
        <v>1229</v>
      </c>
      <c r="G10" s="1018"/>
      <c r="V10" s="1019"/>
    </row>
    <row r="11" spans="2:22" ht="22.5" x14ac:dyDescent="0.2">
      <c r="B11" s="2046" t="s">
        <v>1193</v>
      </c>
      <c r="C11" s="2042" t="s">
        <v>1128</v>
      </c>
      <c r="D11" s="1016">
        <v>240</v>
      </c>
      <c r="E11" s="1017">
        <v>142.46</v>
      </c>
      <c r="F11" s="2038" t="s">
        <v>1235</v>
      </c>
      <c r="G11" s="1018"/>
    </row>
    <row r="12" spans="2:22" ht="22.5" x14ac:dyDescent="0.2">
      <c r="B12" s="2046" t="s">
        <v>1236</v>
      </c>
      <c r="C12" s="2042" t="s">
        <v>1128</v>
      </c>
      <c r="D12" s="1016">
        <v>150</v>
      </c>
      <c r="E12" s="1017">
        <v>77.09</v>
      </c>
      <c r="F12" s="2038" t="s">
        <v>1235</v>
      </c>
      <c r="G12" s="1018"/>
    </row>
    <row r="13" spans="2:22" ht="22.5" x14ac:dyDescent="0.2">
      <c r="B13" s="2046" t="s">
        <v>1237</v>
      </c>
      <c r="C13" s="2042" t="s">
        <v>1128</v>
      </c>
      <c r="D13" s="1016">
        <v>99</v>
      </c>
      <c r="E13" s="1017">
        <v>31.63</v>
      </c>
      <c r="F13" s="2038" t="s">
        <v>1235</v>
      </c>
      <c r="G13" s="1018"/>
    </row>
    <row r="14" spans="2:22" ht="22.5" x14ac:dyDescent="0.2">
      <c r="B14" s="2046" t="s">
        <v>1238</v>
      </c>
      <c r="C14" s="2042" t="s">
        <v>1128</v>
      </c>
      <c r="D14" s="1016">
        <v>60</v>
      </c>
      <c r="E14" s="1017">
        <v>33.9</v>
      </c>
      <c r="F14" s="2038" t="s">
        <v>1235</v>
      </c>
      <c r="G14" s="1018"/>
    </row>
    <row r="15" spans="2:22" ht="22.5" x14ac:dyDescent="0.2">
      <c r="B15" s="2046" t="s">
        <v>1239</v>
      </c>
      <c r="C15" s="2042" t="s">
        <v>1128</v>
      </c>
      <c r="D15" s="1016">
        <v>8</v>
      </c>
      <c r="E15" s="1017">
        <v>4.5599999999999996</v>
      </c>
      <c r="F15" s="2038" t="s">
        <v>1235</v>
      </c>
      <c r="G15" s="1018"/>
    </row>
    <row r="16" spans="2:22" ht="22.5" x14ac:dyDescent="0.2">
      <c r="B16" s="2046" t="s">
        <v>1240</v>
      </c>
      <c r="C16" s="2042" t="s">
        <v>1128</v>
      </c>
      <c r="D16" s="1016">
        <v>10</v>
      </c>
      <c r="E16" s="1017">
        <v>0</v>
      </c>
      <c r="F16" s="2038" t="s">
        <v>1235</v>
      </c>
      <c r="G16" s="1018"/>
    </row>
    <row r="17" spans="2:7" ht="22.5" x14ac:dyDescent="0.2">
      <c r="B17" s="2046" t="s">
        <v>1241</v>
      </c>
      <c r="C17" s="2042" t="s">
        <v>1128</v>
      </c>
      <c r="D17" s="1016">
        <v>10</v>
      </c>
      <c r="E17" s="1017">
        <v>0</v>
      </c>
      <c r="F17" s="2038" t="s">
        <v>1235</v>
      </c>
      <c r="G17" s="1018"/>
    </row>
    <row r="18" spans="2:7" ht="23.25" customHeight="1" x14ac:dyDescent="0.2">
      <c r="B18" s="2047" t="s">
        <v>1193</v>
      </c>
      <c r="C18" s="2042" t="s">
        <v>1242</v>
      </c>
      <c r="D18" s="1016">
        <v>52</v>
      </c>
      <c r="E18" s="1017">
        <v>42.56</v>
      </c>
      <c r="F18" s="2038" t="s">
        <v>1235</v>
      </c>
      <c r="G18" s="1018"/>
    </row>
    <row r="19" spans="2:7" ht="21.75" customHeight="1" x14ac:dyDescent="0.2">
      <c r="B19" s="2047" t="s">
        <v>1193</v>
      </c>
      <c r="C19" s="2042" t="s">
        <v>1243</v>
      </c>
      <c r="D19" s="1016">
        <v>25</v>
      </c>
      <c r="E19" s="1017">
        <v>21.16</v>
      </c>
      <c r="F19" s="2038" t="s">
        <v>1235</v>
      </c>
      <c r="G19" s="1018"/>
    </row>
    <row r="20" spans="2:7" ht="27" customHeight="1" x14ac:dyDescent="0.2">
      <c r="B20" s="2047" t="s">
        <v>1193</v>
      </c>
      <c r="C20" s="2042" t="s">
        <v>1244</v>
      </c>
      <c r="D20" s="1016">
        <v>12</v>
      </c>
      <c r="E20" s="1017">
        <v>9.1300000000000008</v>
      </c>
      <c r="F20" s="2038" t="s">
        <v>1235</v>
      </c>
      <c r="G20" s="1018"/>
    </row>
    <row r="21" spans="2:7" ht="22.5" x14ac:dyDescent="0.2">
      <c r="B21" s="2047" t="s">
        <v>1193</v>
      </c>
      <c r="C21" s="2042" t="s">
        <v>1199</v>
      </c>
      <c r="D21" s="1016">
        <v>13</v>
      </c>
      <c r="E21" s="1017">
        <v>10.1</v>
      </c>
      <c r="F21" s="2038" t="s">
        <v>1235</v>
      </c>
      <c r="G21" s="1018"/>
    </row>
    <row r="22" spans="2:7" ht="21.75" customHeight="1" x14ac:dyDescent="0.2">
      <c r="B22" s="2047" t="s">
        <v>1193</v>
      </c>
      <c r="C22" s="2042" t="s">
        <v>1198</v>
      </c>
      <c r="D22" s="1016">
        <v>2</v>
      </c>
      <c r="E22" s="1017">
        <v>1.5</v>
      </c>
      <c r="F22" s="2038" t="s">
        <v>1235</v>
      </c>
      <c r="G22" s="1018"/>
    </row>
    <row r="23" spans="2:7" ht="21.75" customHeight="1" x14ac:dyDescent="0.2">
      <c r="B23" s="2047" t="s">
        <v>1201</v>
      </c>
      <c r="C23" s="2042" t="s">
        <v>1203</v>
      </c>
      <c r="D23" s="1016">
        <v>50</v>
      </c>
      <c r="E23" s="1017">
        <v>36.26</v>
      </c>
      <c r="F23" s="2038" t="s">
        <v>1235</v>
      </c>
      <c r="G23" s="1018"/>
    </row>
    <row r="24" spans="2:7" ht="22.5" x14ac:dyDescent="0.2">
      <c r="B24" s="2046" t="s">
        <v>1201</v>
      </c>
      <c r="C24" s="2042" t="s">
        <v>1200</v>
      </c>
      <c r="D24" s="1016">
        <v>12</v>
      </c>
      <c r="E24" s="1017">
        <v>7.76</v>
      </c>
      <c r="F24" s="2038" t="s">
        <v>1235</v>
      </c>
      <c r="G24" s="1018"/>
    </row>
    <row r="25" spans="2:7" ht="22.5" x14ac:dyDescent="0.2">
      <c r="B25" s="2046" t="s">
        <v>1201</v>
      </c>
      <c r="C25" s="2042" t="s">
        <v>1162</v>
      </c>
      <c r="D25" s="1016">
        <v>12</v>
      </c>
      <c r="E25" s="1017">
        <v>8.3000000000000007</v>
      </c>
      <c r="F25" s="2038" t="s">
        <v>1235</v>
      </c>
      <c r="G25" s="1018"/>
    </row>
    <row r="26" spans="2:7" ht="22.5" x14ac:dyDescent="0.2">
      <c r="B26" s="2046" t="s">
        <v>1201</v>
      </c>
      <c r="C26" s="2042" t="s">
        <v>1202</v>
      </c>
      <c r="D26" s="1016">
        <v>3</v>
      </c>
      <c r="E26" s="1017">
        <v>1.4</v>
      </c>
      <c r="F26" s="2038" t="s">
        <v>1235</v>
      </c>
      <c r="G26" s="1018"/>
    </row>
    <row r="27" spans="2:7" ht="22.5" x14ac:dyDescent="0.2">
      <c r="B27" s="2048" t="s">
        <v>1194</v>
      </c>
      <c r="C27" s="2042" t="s">
        <v>1242</v>
      </c>
      <c r="D27" s="1016">
        <v>4</v>
      </c>
      <c r="E27" s="1017">
        <v>0.2</v>
      </c>
      <c r="F27" s="2038" t="s">
        <v>1235</v>
      </c>
      <c r="G27" s="1018"/>
    </row>
    <row r="28" spans="2:7" ht="26.25" customHeight="1" x14ac:dyDescent="0.2">
      <c r="B28" s="2048" t="s">
        <v>1194</v>
      </c>
      <c r="C28" s="2042" t="s">
        <v>1209</v>
      </c>
      <c r="D28" s="1016">
        <v>2</v>
      </c>
      <c r="E28" s="1017">
        <v>0.83</v>
      </c>
      <c r="F28" s="2038" t="s">
        <v>1235</v>
      </c>
      <c r="G28" s="1018"/>
    </row>
    <row r="29" spans="2:7" ht="22.5" x14ac:dyDescent="0.2">
      <c r="B29" s="2049" t="s">
        <v>1206</v>
      </c>
      <c r="C29" s="2042" t="s">
        <v>1205</v>
      </c>
      <c r="D29" s="1016">
        <v>21</v>
      </c>
      <c r="E29" s="1017">
        <v>14.43</v>
      </c>
      <c r="F29" s="2038" t="s">
        <v>1235</v>
      </c>
      <c r="G29" s="1018"/>
    </row>
    <row r="30" spans="2:7" ht="22.5" x14ac:dyDescent="0.2">
      <c r="B30" s="2049" t="s">
        <v>1206</v>
      </c>
      <c r="C30" s="2042" t="s">
        <v>1198</v>
      </c>
      <c r="D30" s="1016">
        <v>10</v>
      </c>
      <c r="E30" s="1017">
        <v>4.7</v>
      </c>
      <c r="F30" s="2038" t="s">
        <v>1235</v>
      </c>
      <c r="G30" s="1018"/>
    </row>
    <row r="31" spans="2:7" ht="23.25" thickBot="1" x14ac:dyDescent="0.25">
      <c r="B31" s="2050" t="s">
        <v>1208</v>
      </c>
      <c r="C31" s="2043" t="s">
        <v>1207</v>
      </c>
      <c r="D31" s="2032">
        <v>1</v>
      </c>
      <c r="E31" s="2033">
        <v>0</v>
      </c>
      <c r="F31" s="2039" t="s">
        <v>1235</v>
      </c>
      <c r="G31" s="1018"/>
    </row>
    <row r="32" spans="2:7" ht="37.5" customHeight="1" thickBot="1" x14ac:dyDescent="0.25">
      <c r="B32" s="3125" t="s">
        <v>170</v>
      </c>
      <c r="C32" s="3126"/>
      <c r="D32" s="2034">
        <f>SUM(D5:D31)</f>
        <v>1033</v>
      </c>
      <c r="E32" s="2034">
        <f>SUM(E5:E31)</f>
        <v>573.35000000000014</v>
      </c>
      <c r="F32" s="2035"/>
      <c r="G32" s="1018"/>
    </row>
    <row r="33" spans="2:7" x14ac:dyDescent="0.2">
      <c r="B33" s="3127" t="s">
        <v>1245</v>
      </c>
      <c r="C33" s="3127"/>
      <c r="D33" s="3127"/>
      <c r="E33" s="3127"/>
      <c r="F33" s="3127"/>
      <c r="G33" s="1018"/>
    </row>
  </sheetData>
  <mergeCells count="3">
    <mergeCell ref="B2:F2"/>
    <mergeCell ref="B32:C32"/>
    <mergeCell ref="B33:F33"/>
  </mergeCells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FF00"/>
  </sheetPr>
  <dimension ref="A1:AF33"/>
  <sheetViews>
    <sheetView rightToLeft="1" zoomScale="80" zoomScaleNormal="80" workbookViewId="0">
      <selection activeCell="C20" sqref="C20"/>
    </sheetView>
  </sheetViews>
  <sheetFormatPr defaultColWidth="8.125" defaultRowHeight="18" x14ac:dyDescent="0.5"/>
  <cols>
    <col min="1" max="10" width="8.125" style="923"/>
    <col min="11" max="12" width="8.125" style="923" customWidth="1"/>
    <col min="13" max="14" width="9.125" style="923" bestFit="1" customWidth="1"/>
    <col min="15" max="16" width="8.25" style="923" bestFit="1" customWidth="1"/>
    <col min="17" max="17" width="8.125" style="923"/>
    <col min="18" max="18" width="6.25" style="923" customWidth="1"/>
    <col min="19" max="19" width="9.875" style="923" customWidth="1"/>
    <col min="20" max="22" width="8.125" style="923"/>
    <col min="23" max="23" width="10.25" style="923" bestFit="1" customWidth="1"/>
    <col min="24" max="24" width="8.25" style="923" bestFit="1" customWidth="1"/>
    <col min="25" max="25" width="8.125" style="923"/>
    <col min="26" max="26" width="4.375" style="923" customWidth="1"/>
    <col min="27" max="27" width="9.75" style="923" bestFit="1" customWidth="1"/>
    <col min="28" max="30" width="8.125" style="923"/>
    <col min="31" max="31" width="11.625" style="923" bestFit="1" customWidth="1"/>
    <col min="32" max="16384" width="8.125" style="923"/>
  </cols>
  <sheetData>
    <row r="1" spans="11:32" ht="18.75" customHeight="1" x14ac:dyDescent="0.5">
      <c r="S1" s="1120"/>
      <c r="T1" s="1120"/>
      <c r="U1" s="1120"/>
      <c r="V1" s="1120"/>
      <c r="W1" s="1120"/>
      <c r="X1" s="1120"/>
      <c r="Y1" s="1120"/>
      <c r="Z1" s="1120"/>
      <c r="AA1" s="1120"/>
      <c r="AB1" s="1120"/>
      <c r="AC1" s="1120"/>
      <c r="AD1" s="1120"/>
      <c r="AE1" s="1120"/>
      <c r="AF1" s="1120"/>
    </row>
    <row r="2" spans="11:32" ht="18.75" customHeight="1" x14ac:dyDescent="0.5">
      <c r="K2" s="1121"/>
      <c r="L2" s="3129"/>
      <c r="M2" s="3132" t="s">
        <v>1413</v>
      </c>
      <c r="N2" s="3132"/>
      <c r="O2" s="3132" t="s">
        <v>1414</v>
      </c>
      <c r="P2" s="3132"/>
      <c r="S2" s="3133" t="s">
        <v>1415</v>
      </c>
      <c r="T2" s="3134"/>
      <c r="U2" s="3135"/>
      <c r="V2" s="3136" t="s">
        <v>1416</v>
      </c>
      <c r="W2" s="3134"/>
      <c r="X2" s="3135"/>
      <c r="AA2" s="3137" t="s">
        <v>1415</v>
      </c>
      <c r="AB2" s="3138"/>
      <c r="AC2" s="3139"/>
      <c r="AD2" s="3128" t="s">
        <v>1416</v>
      </c>
      <c r="AE2" s="3128"/>
      <c r="AF2" s="3128"/>
    </row>
    <row r="3" spans="11:32" ht="18.75" customHeight="1" x14ac:dyDescent="0.5">
      <c r="L3" s="3131"/>
      <c r="M3" s="1122" t="s">
        <v>1417</v>
      </c>
      <c r="N3" s="1122" t="s">
        <v>1418</v>
      </c>
      <c r="O3" s="1122" t="s">
        <v>1419</v>
      </c>
      <c r="P3" s="1122" t="s">
        <v>1418</v>
      </c>
      <c r="Q3" s="1123"/>
      <c r="S3" s="1122"/>
      <c r="T3" s="1122" t="s">
        <v>1420</v>
      </c>
      <c r="U3" s="1122" t="s">
        <v>1421</v>
      </c>
      <c r="V3" s="1122"/>
      <c r="W3" s="1122" t="s">
        <v>1420</v>
      </c>
      <c r="X3" s="1122" t="s">
        <v>1421</v>
      </c>
      <c r="AA3" s="1124"/>
      <c r="AB3" s="1124" t="s">
        <v>1420</v>
      </c>
      <c r="AC3" s="1124" t="s">
        <v>1421</v>
      </c>
      <c r="AD3" s="1124"/>
      <c r="AE3" s="1124" t="s">
        <v>1420</v>
      </c>
      <c r="AF3" s="1124" t="s">
        <v>1421</v>
      </c>
    </row>
    <row r="4" spans="11:32" ht="18.75" customHeight="1" x14ac:dyDescent="0.5">
      <c r="L4" s="1122" t="s">
        <v>197</v>
      </c>
      <c r="M4" s="1125">
        <f t="shared" ref="M4:N15" si="0">W4/T4</f>
        <v>435.97590635299468</v>
      </c>
      <c r="N4" s="1125">
        <f t="shared" si="0"/>
        <v>879.30359671481165</v>
      </c>
      <c r="O4" s="1125">
        <f t="shared" ref="O4:P15" si="1">T4</f>
        <v>283.83870967741933</v>
      </c>
      <c r="P4" s="1125">
        <f t="shared" si="1"/>
        <v>113.90322580645162</v>
      </c>
      <c r="S4" s="1126" t="s">
        <v>197</v>
      </c>
      <c r="T4" s="1127">
        <f t="shared" ref="T4:U9" si="2">AB4/31</f>
        <v>283.83870967741933</v>
      </c>
      <c r="U4" s="1127">
        <f t="shared" si="2"/>
        <v>113.90322580645162</v>
      </c>
      <c r="V4" s="1126" t="s">
        <v>197</v>
      </c>
      <c r="W4" s="1128">
        <f t="shared" ref="W4:X9" si="3">AE4/31</f>
        <v>123746.83870967742</v>
      </c>
      <c r="X4" s="1128">
        <f t="shared" si="3"/>
        <v>100155.51612903226</v>
      </c>
      <c r="AA4" s="1124" t="s">
        <v>197</v>
      </c>
      <c r="AB4" s="1129">
        <v>8799</v>
      </c>
      <c r="AC4" s="1129">
        <v>3531</v>
      </c>
      <c r="AD4" s="1124" t="s">
        <v>197</v>
      </c>
      <c r="AE4" s="1130">
        <v>3836152</v>
      </c>
      <c r="AF4" s="1130">
        <v>3104821</v>
      </c>
    </row>
    <row r="5" spans="11:32" ht="18.75" customHeight="1" x14ac:dyDescent="0.5">
      <c r="L5" s="1122" t="s">
        <v>159</v>
      </c>
      <c r="M5" s="1125">
        <f t="shared" si="0"/>
        <v>416.78166041275796</v>
      </c>
      <c r="N5" s="1125">
        <f t="shared" si="0"/>
        <v>904.6264108352143</v>
      </c>
      <c r="O5" s="1125">
        <f t="shared" si="1"/>
        <v>275.09677419354841</v>
      </c>
      <c r="P5" s="1125">
        <f t="shared" si="1"/>
        <v>114.3225806451613</v>
      </c>
      <c r="S5" s="1126" t="s">
        <v>159</v>
      </c>
      <c r="T5" s="1127">
        <f t="shared" si="2"/>
        <v>275.09677419354841</v>
      </c>
      <c r="U5" s="1127">
        <f t="shared" si="2"/>
        <v>114.3225806451613</v>
      </c>
      <c r="V5" s="1126" t="s">
        <v>159</v>
      </c>
      <c r="W5" s="1128">
        <f t="shared" si="3"/>
        <v>114655.29032258065</v>
      </c>
      <c r="X5" s="1128">
        <f t="shared" si="3"/>
        <v>103419.22580645161</v>
      </c>
      <c r="Y5" s="1131"/>
      <c r="AA5" s="1124" t="s">
        <v>159</v>
      </c>
      <c r="AB5" s="1130">
        <v>8528</v>
      </c>
      <c r="AC5" s="1130">
        <v>3544</v>
      </c>
      <c r="AD5" s="1124" t="s">
        <v>159</v>
      </c>
      <c r="AE5" s="1130">
        <v>3554314</v>
      </c>
      <c r="AF5" s="1130">
        <v>3205996</v>
      </c>
    </row>
    <row r="6" spans="11:32" ht="18.75" customHeight="1" x14ac:dyDescent="0.5">
      <c r="L6" s="1122" t="s">
        <v>160</v>
      </c>
      <c r="M6" s="1125">
        <f t="shared" si="0"/>
        <v>414.9076264787314</v>
      </c>
      <c r="N6" s="1125">
        <f t="shared" si="0"/>
        <v>913.93468072642054</v>
      </c>
      <c r="O6" s="1125">
        <f t="shared" si="1"/>
        <v>256.32258064516128</v>
      </c>
      <c r="P6" s="1125">
        <f t="shared" si="1"/>
        <v>110.12903225806451</v>
      </c>
      <c r="S6" s="1126" t="s">
        <v>160</v>
      </c>
      <c r="T6" s="1127">
        <f t="shared" si="2"/>
        <v>256.32258064516128</v>
      </c>
      <c r="U6" s="1127">
        <f t="shared" si="2"/>
        <v>110.12903225806451</v>
      </c>
      <c r="V6" s="1126" t="s">
        <v>160</v>
      </c>
      <c r="W6" s="1128">
        <f t="shared" si="3"/>
        <v>106350.19354838709</v>
      </c>
      <c r="X6" s="1128">
        <f t="shared" si="3"/>
        <v>100650.74193548386</v>
      </c>
      <c r="AA6" s="1124" t="s">
        <v>160</v>
      </c>
      <c r="AB6" s="1132">
        <v>7946</v>
      </c>
      <c r="AC6" s="1132">
        <v>3414</v>
      </c>
      <c r="AD6" s="1124" t="s">
        <v>160</v>
      </c>
      <c r="AE6" s="1130">
        <v>3296856</v>
      </c>
      <c r="AF6" s="1129">
        <v>3120173</v>
      </c>
    </row>
    <row r="7" spans="11:32" ht="18.75" customHeight="1" x14ac:dyDescent="0.5">
      <c r="L7" s="1122" t="s">
        <v>161</v>
      </c>
      <c r="M7" s="1125">
        <f t="shared" si="0"/>
        <v>420.65133079847908</v>
      </c>
      <c r="N7" s="1125">
        <f t="shared" si="0"/>
        <v>928.17150553726424</v>
      </c>
      <c r="O7" s="1125">
        <f t="shared" si="1"/>
        <v>254.51612903225808</v>
      </c>
      <c r="P7" s="1125">
        <f t="shared" si="1"/>
        <v>107.7741935483871</v>
      </c>
      <c r="S7" s="1126" t="s">
        <v>161</v>
      </c>
      <c r="T7" s="1127">
        <f t="shared" si="2"/>
        <v>254.51612903225808</v>
      </c>
      <c r="U7" s="1127">
        <f t="shared" si="2"/>
        <v>107.7741935483871</v>
      </c>
      <c r="V7" s="1126" t="s">
        <v>161</v>
      </c>
      <c r="W7" s="1128">
        <f t="shared" si="3"/>
        <v>107062.54838709677</v>
      </c>
      <c r="X7" s="1128">
        <f t="shared" si="3"/>
        <v>100032.93548387097</v>
      </c>
      <c r="AA7" s="1124" t="s">
        <v>161</v>
      </c>
      <c r="AB7" s="1130">
        <v>7890</v>
      </c>
      <c r="AC7" s="1130">
        <v>3341</v>
      </c>
      <c r="AD7" s="1124" t="s">
        <v>161</v>
      </c>
      <c r="AE7" s="1130">
        <v>3318939</v>
      </c>
      <c r="AF7" s="1129">
        <v>3101021</v>
      </c>
    </row>
    <row r="8" spans="11:32" ht="18.75" customHeight="1" x14ac:dyDescent="0.5">
      <c r="L8" s="1122" t="s">
        <v>162</v>
      </c>
      <c r="M8" s="1125">
        <f t="shared" si="0"/>
        <v>425.37302396736357</v>
      </c>
      <c r="N8" s="1125">
        <f t="shared" si="0"/>
        <v>904.24092409240927</v>
      </c>
      <c r="O8" s="1125">
        <f t="shared" si="1"/>
        <v>253.03225806451613</v>
      </c>
      <c r="P8" s="1125">
        <f t="shared" si="1"/>
        <v>107.51612903225806</v>
      </c>
      <c r="S8" s="1126" t="s">
        <v>162</v>
      </c>
      <c r="T8" s="1127">
        <f t="shared" si="2"/>
        <v>253.03225806451613</v>
      </c>
      <c r="U8" s="1127">
        <f t="shared" si="2"/>
        <v>107.51612903225806</v>
      </c>
      <c r="V8" s="1126" t="s">
        <v>162</v>
      </c>
      <c r="W8" s="1128">
        <f t="shared" si="3"/>
        <v>107633.09677419355</v>
      </c>
      <c r="X8" s="1128">
        <f t="shared" si="3"/>
        <v>97220.483870967742</v>
      </c>
      <c r="AA8" s="1124" t="s">
        <v>162</v>
      </c>
      <c r="AB8" s="1132">
        <v>7844</v>
      </c>
      <c r="AC8" s="1132">
        <v>3333</v>
      </c>
      <c r="AD8" s="1124" t="s">
        <v>162</v>
      </c>
      <c r="AE8" s="1130">
        <v>3336626</v>
      </c>
      <c r="AF8" s="1129">
        <v>3013835</v>
      </c>
    </row>
    <row r="9" spans="11:32" ht="18.75" customHeight="1" x14ac:dyDescent="0.5">
      <c r="L9" s="1122" t="s">
        <v>163</v>
      </c>
      <c r="M9" s="1125">
        <f t="shared" si="0"/>
        <v>438.49101725163592</v>
      </c>
      <c r="N9" s="1125">
        <f t="shared" si="0"/>
        <v>924.86805759623849</v>
      </c>
      <c r="O9" s="1125">
        <f t="shared" si="1"/>
        <v>271.12903225806451</v>
      </c>
      <c r="P9" s="1125">
        <f t="shared" si="1"/>
        <v>109.7741935483871</v>
      </c>
      <c r="S9" s="1126" t="s">
        <v>163</v>
      </c>
      <c r="T9" s="1127">
        <f t="shared" si="2"/>
        <v>271.12903225806451</v>
      </c>
      <c r="U9" s="1127">
        <f t="shared" si="2"/>
        <v>109.7741935483871</v>
      </c>
      <c r="V9" s="1126" t="s">
        <v>163</v>
      </c>
      <c r="W9" s="1128">
        <f t="shared" si="3"/>
        <v>118887.64516129032</v>
      </c>
      <c r="X9" s="1128">
        <f t="shared" si="3"/>
        <v>101526.64516129032</v>
      </c>
      <c r="AA9" s="1124" t="s">
        <v>163</v>
      </c>
      <c r="AB9" s="1130">
        <v>8405</v>
      </c>
      <c r="AC9" s="1130">
        <v>3403</v>
      </c>
      <c r="AD9" s="1124" t="s">
        <v>163</v>
      </c>
      <c r="AE9" s="1130">
        <v>3685517</v>
      </c>
      <c r="AF9" s="1129">
        <v>3147326</v>
      </c>
    </row>
    <row r="10" spans="11:32" ht="18.75" customHeight="1" x14ac:dyDescent="0.5">
      <c r="L10" s="1122" t="s">
        <v>164</v>
      </c>
      <c r="M10" s="1125">
        <f t="shared" si="0"/>
        <v>446.91868024040235</v>
      </c>
      <c r="N10" s="1125">
        <f t="shared" si="0"/>
        <v>898.52628398791535</v>
      </c>
      <c r="O10" s="1125">
        <f t="shared" si="1"/>
        <v>271.76666666666665</v>
      </c>
      <c r="P10" s="1125">
        <f t="shared" si="1"/>
        <v>110.33333333333333</v>
      </c>
      <c r="S10" s="1126" t="s">
        <v>164</v>
      </c>
      <c r="T10" s="1133">
        <f t="shared" ref="T10:U15" si="4">AB10/30</f>
        <v>271.76666666666665</v>
      </c>
      <c r="U10" s="1133">
        <f t="shared" si="4"/>
        <v>110.33333333333333</v>
      </c>
      <c r="V10" s="1126" t="s">
        <v>164</v>
      </c>
      <c r="W10" s="1134">
        <f t="shared" ref="W10:X15" si="5">AE10/30</f>
        <v>121457.60000000001</v>
      </c>
      <c r="X10" s="1134">
        <f t="shared" si="5"/>
        <v>99137.4</v>
      </c>
      <c r="AA10" s="1124" t="s">
        <v>164</v>
      </c>
      <c r="AB10" s="1132">
        <v>8153</v>
      </c>
      <c r="AC10" s="1132">
        <v>3310</v>
      </c>
      <c r="AD10" s="1124" t="s">
        <v>164</v>
      </c>
      <c r="AE10" s="1129">
        <v>3643728</v>
      </c>
      <c r="AF10" s="1129">
        <v>2974122</v>
      </c>
    </row>
    <row r="11" spans="11:32" ht="18.75" customHeight="1" x14ac:dyDescent="0.5">
      <c r="L11" s="1122" t="s">
        <v>520</v>
      </c>
      <c r="M11" s="1125">
        <f t="shared" si="0"/>
        <v>434.01900463237916</v>
      </c>
      <c r="N11" s="1125">
        <f t="shared" si="0"/>
        <v>904.43117893476949</v>
      </c>
      <c r="O11" s="1125">
        <f t="shared" si="1"/>
        <v>280.63333333333333</v>
      </c>
      <c r="P11" s="1125">
        <f t="shared" si="1"/>
        <v>111.4</v>
      </c>
      <c r="S11" s="1126" t="s">
        <v>520</v>
      </c>
      <c r="T11" s="1133">
        <f t="shared" si="4"/>
        <v>280.63333333333333</v>
      </c>
      <c r="U11" s="1133">
        <f t="shared" si="4"/>
        <v>111.4</v>
      </c>
      <c r="V11" s="1126" t="s">
        <v>520</v>
      </c>
      <c r="W11" s="1134">
        <f t="shared" si="5"/>
        <v>121800.2</v>
      </c>
      <c r="X11" s="1134">
        <f t="shared" si="5"/>
        <v>100753.63333333333</v>
      </c>
      <c r="AA11" s="1124" t="s">
        <v>520</v>
      </c>
      <c r="AB11" s="1129">
        <v>8419</v>
      </c>
      <c r="AC11" s="1129">
        <v>3342</v>
      </c>
      <c r="AD11" s="1124" t="s">
        <v>520</v>
      </c>
      <c r="AE11" s="1129">
        <v>3654006</v>
      </c>
      <c r="AF11" s="1129">
        <v>3022609</v>
      </c>
    </row>
    <row r="12" spans="11:32" ht="18.75" customHeight="1" x14ac:dyDescent="0.5">
      <c r="L12" s="1122" t="s">
        <v>166</v>
      </c>
      <c r="M12" s="1125">
        <f t="shared" si="0"/>
        <v>420.62166422700147</v>
      </c>
      <c r="N12" s="1125">
        <f t="shared" si="0"/>
        <v>899.60771992818673</v>
      </c>
      <c r="O12" s="1125">
        <f t="shared" si="1"/>
        <v>296.03333333333336</v>
      </c>
      <c r="P12" s="1125">
        <f t="shared" si="1"/>
        <v>111.4</v>
      </c>
      <c r="S12" s="1126" t="s">
        <v>166</v>
      </c>
      <c r="T12" s="1133">
        <f t="shared" si="4"/>
        <v>296.03333333333336</v>
      </c>
      <c r="U12" s="1133">
        <f t="shared" si="4"/>
        <v>111.4</v>
      </c>
      <c r="V12" s="1126" t="s">
        <v>166</v>
      </c>
      <c r="W12" s="1134">
        <f t="shared" si="5"/>
        <v>124518.03333333334</v>
      </c>
      <c r="X12" s="1134">
        <f t="shared" si="5"/>
        <v>100216.3</v>
      </c>
      <c r="AA12" s="1124" t="s">
        <v>166</v>
      </c>
      <c r="AB12" s="1132">
        <v>8881</v>
      </c>
      <c r="AC12" s="1132">
        <v>3342</v>
      </c>
      <c r="AD12" s="1124" t="s">
        <v>166</v>
      </c>
      <c r="AE12" s="1129">
        <v>3735541</v>
      </c>
      <c r="AF12" s="1129">
        <v>3006489</v>
      </c>
    </row>
    <row r="13" spans="11:32" ht="18.75" customHeight="1" x14ac:dyDescent="0.5">
      <c r="L13" s="1122" t="s">
        <v>521</v>
      </c>
      <c r="M13" s="1125">
        <f t="shared" si="0"/>
        <v>429.47236460887007</v>
      </c>
      <c r="N13" s="1125">
        <f t="shared" si="0"/>
        <v>933.76396946564876</v>
      </c>
      <c r="O13" s="1125">
        <f t="shared" si="1"/>
        <v>299.13333333333333</v>
      </c>
      <c r="P13" s="1125">
        <f t="shared" si="1"/>
        <v>109.16666666666667</v>
      </c>
      <c r="S13" s="1126" t="s">
        <v>521</v>
      </c>
      <c r="T13" s="1133">
        <f t="shared" si="4"/>
        <v>299.13333333333333</v>
      </c>
      <c r="U13" s="1133">
        <f t="shared" si="4"/>
        <v>109.16666666666667</v>
      </c>
      <c r="V13" s="1126" t="s">
        <v>521</v>
      </c>
      <c r="W13" s="1134">
        <f t="shared" si="5"/>
        <v>128469.5</v>
      </c>
      <c r="X13" s="1134">
        <f t="shared" si="5"/>
        <v>101935.9</v>
      </c>
      <c r="AA13" s="1124" t="s">
        <v>521</v>
      </c>
      <c r="AB13" s="1130">
        <v>8974</v>
      </c>
      <c r="AC13" s="1130">
        <v>3275</v>
      </c>
      <c r="AD13" s="1124" t="s">
        <v>521</v>
      </c>
      <c r="AE13" s="1129">
        <v>3854085</v>
      </c>
      <c r="AF13" s="1129">
        <v>3058077</v>
      </c>
    </row>
    <row r="14" spans="11:32" ht="18.75" customHeight="1" x14ac:dyDescent="0.5">
      <c r="L14" s="1122" t="s">
        <v>168</v>
      </c>
      <c r="M14" s="1125">
        <f t="shared" si="0"/>
        <v>408.79185225420969</v>
      </c>
      <c r="N14" s="1125">
        <f t="shared" si="0"/>
        <v>924.00992182802167</v>
      </c>
      <c r="O14" s="1125">
        <f t="shared" si="1"/>
        <v>306.83333333333331</v>
      </c>
      <c r="P14" s="1125">
        <f t="shared" si="1"/>
        <v>110.86666666666666</v>
      </c>
      <c r="S14" s="1126" t="s">
        <v>168</v>
      </c>
      <c r="T14" s="1133">
        <f t="shared" si="4"/>
        <v>306.83333333333331</v>
      </c>
      <c r="U14" s="1133">
        <f t="shared" si="4"/>
        <v>110.86666666666666</v>
      </c>
      <c r="V14" s="1126" t="s">
        <v>168</v>
      </c>
      <c r="W14" s="1134">
        <f t="shared" si="5"/>
        <v>125430.96666666666</v>
      </c>
      <c r="X14" s="1134">
        <f t="shared" si="5"/>
        <v>102441.9</v>
      </c>
      <c r="AA14" s="1124" t="s">
        <v>168</v>
      </c>
      <c r="AB14" s="1132">
        <v>9205</v>
      </c>
      <c r="AC14" s="1132">
        <v>3326</v>
      </c>
      <c r="AD14" s="1124" t="s">
        <v>168</v>
      </c>
      <c r="AE14" s="1129">
        <v>3762929</v>
      </c>
      <c r="AF14" s="1129">
        <v>3073257</v>
      </c>
    </row>
    <row r="15" spans="11:32" ht="18.75" customHeight="1" x14ac:dyDescent="0.5">
      <c r="L15" s="1122" t="s">
        <v>169</v>
      </c>
      <c r="M15" s="1125">
        <f t="shared" si="0"/>
        <v>404.12494750105003</v>
      </c>
      <c r="N15" s="1125">
        <f t="shared" si="0"/>
        <v>922.1825605132691</v>
      </c>
      <c r="O15" s="1125">
        <f t="shared" si="1"/>
        <v>317.46666666666664</v>
      </c>
      <c r="P15" s="1125">
        <f t="shared" si="1"/>
        <v>114.3</v>
      </c>
      <c r="S15" s="1126" t="s">
        <v>169</v>
      </c>
      <c r="T15" s="1127">
        <f t="shared" si="4"/>
        <v>317.46666666666664</v>
      </c>
      <c r="U15" s="1127">
        <f t="shared" si="4"/>
        <v>114.3</v>
      </c>
      <c r="V15" s="1126" t="s">
        <v>169</v>
      </c>
      <c r="W15" s="1134">
        <f t="shared" si="5"/>
        <v>128296.2</v>
      </c>
      <c r="X15" s="1134">
        <f t="shared" si="5"/>
        <v>105405.46666666666</v>
      </c>
      <c r="AA15" s="1124" t="s">
        <v>169</v>
      </c>
      <c r="AB15" s="1129">
        <v>9524</v>
      </c>
      <c r="AC15" s="1129">
        <v>3429</v>
      </c>
      <c r="AD15" s="1124" t="s">
        <v>169</v>
      </c>
      <c r="AE15" s="1129">
        <v>3848886</v>
      </c>
      <c r="AF15" s="1129">
        <v>3162164</v>
      </c>
    </row>
    <row r="16" spans="11:32" ht="18.75" customHeight="1" x14ac:dyDescent="0.5">
      <c r="L16" s="3129"/>
      <c r="M16" s="3129"/>
      <c r="N16" s="3129"/>
      <c r="O16" s="3129"/>
      <c r="P16" s="3129"/>
      <c r="U16" s="1135"/>
      <c r="W16" s="1136"/>
      <c r="Z16" s="933"/>
    </row>
    <row r="17" spans="1:16" ht="18.75" customHeight="1" x14ac:dyDescent="0.5">
      <c r="L17" s="3129"/>
    </row>
    <row r="18" spans="1:16" ht="18.75" customHeight="1" x14ac:dyDescent="0.5">
      <c r="M18" s="1137"/>
      <c r="N18" s="1137"/>
      <c r="O18" s="1138"/>
      <c r="P18" s="1138"/>
    </row>
    <row r="19" spans="1:16" ht="18.75" customHeight="1" x14ac:dyDescent="0.5">
      <c r="M19" s="1137"/>
      <c r="N19" s="1137"/>
      <c r="O19" s="1138"/>
      <c r="P19" s="1138"/>
    </row>
    <row r="20" spans="1:16" ht="18.75" customHeight="1" x14ac:dyDescent="0.5">
      <c r="M20" s="1137"/>
      <c r="N20" s="1137"/>
      <c r="O20" s="1138"/>
      <c r="P20" s="1138"/>
    </row>
    <row r="21" spans="1:16" ht="18.75" customHeight="1" x14ac:dyDescent="0.5">
      <c r="M21" s="1137"/>
      <c r="N21" s="1137"/>
      <c r="O21" s="1138"/>
      <c r="P21" s="1138"/>
    </row>
    <row r="22" spans="1:16" ht="18.75" customHeight="1" x14ac:dyDescent="0.5">
      <c r="M22" s="1137"/>
      <c r="N22" s="1137"/>
      <c r="O22" s="1138"/>
      <c r="P22" s="1138"/>
    </row>
    <row r="23" spans="1:16" ht="18.75" customHeight="1" x14ac:dyDescent="0.5">
      <c r="M23" s="1137"/>
      <c r="N23" s="1137"/>
      <c r="O23" s="1138"/>
      <c r="P23" s="1138"/>
    </row>
    <row r="24" spans="1:16" ht="18.75" customHeight="1" x14ac:dyDescent="0.5">
      <c r="M24" s="1137"/>
      <c r="N24" s="1137"/>
      <c r="O24" s="1138"/>
      <c r="P24" s="1138"/>
    </row>
    <row r="25" spans="1:16" ht="18.75" customHeight="1" x14ac:dyDescent="0.5">
      <c r="M25" s="1137"/>
      <c r="N25" s="1137"/>
      <c r="O25" s="1138"/>
      <c r="P25" s="1138"/>
    </row>
    <row r="26" spans="1:16" ht="18.75" customHeight="1" x14ac:dyDescent="0.5">
      <c r="M26" s="1137"/>
      <c r="N26" s="1137"/>
      <c r="O26" s="1138"/>
      <c r="P26" s="1138"/>
    </row>
    <row r="27" spans="1:16" ht="18.75" customHeight="1" x14ac:dyDescent="0.5">
      <c r="M27" s="1137"/>
      <c r="N27" s="1137"/>
      <c r="O27" s="1138"/>
      <c r="P27" s="1138"/>
    </row>
    <row r="28" spans="1:16" ht="18.75" customHeight="1" x14ac:dyDescent="0.5">
      <c r="M28" s="1137"/>
      <c r="N28" s="1137"/>
      <c r="O28" s="1138"/>
      <c r="P28" s="1138"/>
    </row>
    <row r="29" spans="1:16" x14ac:dyDescent="0.5">
      <c r="M29" s="1137"/>
      <c r="N29" s="1137"/>
      <c r="O29" s="1138"/>
      <c r="P29" s="1138"/>
    </row>
    <row r="30" spans="1:16" x14ac:dyDescent="0.5">
      <c r="M30" s="1137"/>
      <c r="N30" s="1137"/>
      <c r="O30" s="1138"/>
      <c r="P30" s="1138"/>
    </row>
    <row r="31" spans="1:16" x14ac:dyDescent="0.5">
      <c r="M31" s="1137"/>
      <c r="N31" s="1137"/>
      <c r="O31" s="1138"/>
      <c r="P31" s="1138"/>
    </row>
    <row r="32" spans="1:16" x14ac:dyDescent="0.5">
      <c r="A32" s="141" t="s">
        <v>1422</v>
      </c>
      <c r="B32" s="141"/>
      <c r="C32" s="141"/>
      <c r="D32" s="141"/>
      <c r="E32" s="141"/>
      <c r="F32" s="141"/>
      <c r="G32" s="141"/>
      <c r="H32" s="141"/>
      <c r="I32" s="141"/>
      <c r="J32" s="141"/>
    </row>
    <row r="33" spans="1:10" x14ac:dyDescent="0.5">
      <c r="A33" s="3130" t="s">
        <v>1423</v>
      </c>
      <c r="B33" s="3130"/>
      <c r="C33" s="3130"/>
      <c r="D33" s="3130"/>
      <c r="E33" s="3130"/>
      <c r="F33" s="3130"/>
      <c r="G33" s="3130"/>
      <c r="H33" s="3130"/>
      <c r="I33" s="3130"/>
      <c r="J33" s="3130"/>
    </row>
  </sheetData>
  <mergeCells count="11">
    <mergeCell ref="AD2:AF2"/>
    <mergeCell ref="L16:L17"/>
    <mergeCell ref="M16:N16"/>
    <mergeCell ref="O16:P16"/>
    <mergeCell ref="A33:J33"/>
    <mergeCell ref="L2:L3"/>
    <mergeCell ref="M2:N2"/>
    <mergeCell ref="O2:P2"/>
    <mergeCell ref="S2:U2"/>
    <mergeCell ref="V2:X2"/>
    <mergeCell ref="AA2:AC2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firstPageNumber="80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FFFF00"/>
    <pageSetUpPr fitToPage="1"/>
  </sheetPr>
  <dimension ref="A1:J31"/>
  <sheetViews>
    <sheetView rightToLeft="1" zoomScale="93" zoomScaleNormal="93" workbookViewId="0">
      <selection activeCell="N4" sqref="N4"/>
    </sheetView>
  </sheetViews>
  <sheetFormatPr defaultColWidth="9.375" defaultRowHeight="15.75" x14ac:dyDescent="0.4"/>
  <cols>
    <col min="1" max="1" width="18.75" style="1097" customWidth="1"/>
    <col min="2" max="2" width="4.625" style="1097" bestFit="1" customWidth="1"/>
    <col min="3" max="3" width="8.875" style="1097" customWidth="1"/>
    <col min="4" max="4" width="7.625" style="1097" customWidth="1"/>
    <col min="5" max="5" width="8.625" style="1097" customWidth="1"/>
    <col min="6" max="6" width="7.375" style="1097" customWidth="1"/>
    <col min="7" max="7" width="8.75" style="1097" customWidth="1"/>
    <col min="8" max="8" width="9.125" style="1097" customWidth="1"/>
    <col min="9" max="9" width="11.625" style="1097" customWidth="1"/>
    <col min="10" max="10" width="9.75" style="1097" customWidth="1"/>
    <col min="11" max="16384" width="9.375" style="1097"/>
  </cols>
  <sheetData>
    <row r="1" spans="1:10" ht="24" x14ac:dyDescent="0.4">
      <c r="A1" s="3151" t="s">
        <v>1926</v>
      </c>
      <c r="B1" s="3151"/>
      <c r="C1" s="3151"/>
      <c r="D1" s="3151"/>
      <c r="E1" s="3151"/>
      <c r="F1" s="3151"/>
      <c r="G1" s="3151"/>
      <c r="H1" s="3151"/>
      <c r="I1" s="3151"/>
      <c r="J1" s="3151"/>
    </row>
    <row r="2" spans="1:10" ht="16.5" thickBot="1" x14ac:dyDescent="0.45">
      <c r="A2" s="3152" t="s">
        <v>1342</v>
      </c>
      <c r="B2" s="3152"/>
      <c r="C2" s="3152"/>
      <c r="D2" s="3152"/>
      <c r="E2" s="3152"/>
      <c r="F2" s="3152"/>
      <c r="G2" s="3152"/>
      <c r="H2" s="3152"/>
      <c r="I2" s="3152"/>
      <c r="J2" s="3152"/>
    </row>
    <row r="3" spans="1:10" ht="30" customHeight="1" x14ac:dyDescent="0.4">
      <c r="A3" s="3153" t="s">
        <v>1263</v>
      </c>
      <c r="B3" s="3155" t="s">
        <v>1100</v>
      </c>
      <c r="C3" s="3157" t="s">
        <v>1343</v>
      </c>
      <c r="D3" s="3157"/>
      <c r="E3" s="3157"/>
      <c r="F3" s="3158" t="s">
        <v>1344</v>
      </c>
      <c r="G3" s="3158" t="s">
        <v>1226</v>
      </c>
      <c r="H3" s="3158" t="s">
        <v>1345</v>
      </c>
      <c r="I3" s="3158" t="s">
        <v>1346</v>
      </c>
      <c r="J3" s="3160" t="s">
        <v>1347</v>
      </c>
    </row>
    <row r="4" spans="1:10" ht="54.75" customHeight="1" thickBot="1" x14ac:dyDescent="0.45">
      <c r="A4" s="3154"/>
      <c r="B4" s="3156"/>
      <c r="C4" s="2060" t="s">
        <v>66</v>
      </c>
      <c r="D4" s="2060" t="s">
        <v>1348</v>
      </c>
      <c r="E4" s="2060" t="s">
        <v>1349</v>
      </c>
      <c r="F4" s="3159"/>
      <c r="G4" s="3159"/>
      <c r="H4" s="3159"/>
      <c r="I4" s="3159"/>
      <c r="J4" s="3161"/>
    </row>
    <row r="5" spans="1:10" ht="20.25" customHeight="1" x14ac:dyDescent="0.4">
      <c r="A5" s="3149" t="s">
        <v>1293</v>
      </c>
      <c r="B5" s="2065">
        <v>2</v>
      </c>
      <c r="C5" s="2061"/>
      <c r="D5" s="2061"/>
      <c r="E5" s="2061"/>
      <c r="F5" s="2062"/>
      <c r="G5" s="2062"/>
      <c r="H5" s="2063">
        <v>17</v>
      </c>
      <c r="I5" s="2064">
        <f t="shared" ref="I5:I18" si="0">+VALUE(FIXED(H5*C5,0))</f>
        <v>0</v>
      </c>
      <c r="J5" s="3150">
        <f>+I5+I6+I7</f>
        <v>107046</v>
      </c>
    </row>
    <row r="6" spans="1:10" ht="20.25" customHeight="1" x14ac:dyDescent="0.4">
      <c r="A6" s="3140"/>
      <c r="B6" s="2066">
        <v>3</v>
      </c>
      <c r="C6" s="1725">
        <f>D6+E6</f>
        <v>231</v>
      </c>
      <c r="D6" s="1725"/>
      <c r="E6" s="1725">
        <v>231</v>
      </c>
      <c r="F6" s="1725">
        <f>C6-G6</f>
        <v>87</v>
      </c>
      <c r="G6" s="1100">
        <v>144</v>
      </c>
      <c r="H6" s="1100">
        <v>23.5</v>
      </c>
      <c r="I6" s="1099">
        <f t="shared" si="0"/>
        <v>5429</v>
      </c>
      <c r="J6" s="3145"/>
    </row>
    <row r="7" spans="1:10" ht="20.25" customHeight="1" x14ac:dyDescent="0.4">
      <c r="A7" s="3140"/>
      <c r="B7" s="2066">
        <v>4</v>
      </c>
      <c r="C7" s="1725">
        <f t="shared" ref="C7:C25" si="1">D7+E7</f>
        <v>1812</v>
      </c>
      <c r="D7" s="1725">
        <v>689</v>
      </c>
      <c r="E7" s="1725">
        <f>990+133</f>
        <v>1123</v>
      </c>
      <c r="F7" s="1725">
        <f>C7-G7</f>
        <v>658</v>
      </c>
      <c r="G7" s="1725">
        <v>1154</v>
      </c>
      <c r="H7" s="1100">
        <v>56.08</v>
      </c>
      <c r="I7" s="1099">
        <f t="shared" si="0"/>
        <v>101617</v>
      </c>
      <c r="J7" s="3145"/>
    </row>
    <row r="8" spans="1:10" ht="20.25" customHeight="1" x14ac:dyDescent="0.4">
      <c r="A8" s="2069" t="s">
        <v>1350</v>
      </c>
      <c r="B8" s="2066">
        <v>4</v>
      </c>
      <c r="C8" s="1725">
        <f t="shared" si="1"/>
        <v>1935</v>
      </c>
      <c r="D8" s="1725">
        <v>1</v>
      </c>
      <c r="E8" s="1725">
        <v>1934</v>
      </c>
      <c r="F8" s="1725">
        <f>C8-G8</f>
        <v>79</v>
      </c>
      <c r="G8" s="1725">
        <v>1856</v>
      </c>
      <c r="H8" s="1100">
        <v>67.5</v>
      </c>
      <c r="I8" s="1099">
        <f t="shared" si="0"/>
        <v>130613</v>
      </c>
      <c r="J8" s="2057">
        <f>+I8</f>
        <v>130613</v>
      </c>
    </row>
    <row r="9" spans="1:10" ht="20.25" customHeight="1" x14ac:dyDescent="0.4">
      <c r="A9" s="3140" t="s">
        <v>1351</v>
      </c>
      <c r="B9" s="2066">
        <v>2</v>
      </c>
      <c r="C9" s="1725">
        <f t="shared" si="1"/>
        <v>1</v>
      </c>
      <c r="D9" s="1725">
        <v>1</v>
      </c>
      <c r="E9" s="1725"/>
      <c r="F9" s="1725">
        <f>C9-G9</f>
        <v>1</v>
      </c>
      <c r="G9" s="1725"/>
      <c r="H9" s="1100"/>
      <c r="I9" s="1099"/>
      <c r="J9" s="2057"/>
    </row>
    <row r="10" spans="1:10" ht="20.25" customHeight="1" x14ac:dyDescent="0.4">
      <c r="A10" s="3140"/>
      <c r="B10" s="2066">
        <v>4</v>
      </c>
      <c r="C10" s="1725">
        <f t="shared" si="1"/>
        <v>3817</v>
      </c>
      <c r="D10" s="1725">
        <v>482</v>
      </c>
      <c r="E10" s="1725">
        <v>3335</v>
      </c>
      <c r="F10" s="1725">
        <f>C10-G10</f>
        <v>752</v>
      </c>
      <c r="G10" s="1725">
        <v>3065</v>
      </c>
      <c r="H10" s="1100">
        <v>59.64</v>
      </c>
      <c r="I10" s="1099">
        <f t="shared" si="0"/>
        <v>227646</v>
      </c>
      <c r="J10" s="2057">
        <f>+I10</f>
        <v>227646</v>
      </c>
    </row>
    <row r="11" spans="1:10" ht="20.25" customHeight="1" x14ac:dyDescent="0.4">
      <c r="A11" s="3140" t="s">
        <v>1352</v>
      </c>
      <c r="B11" s="2066">
        <v>4</v>
      </c>
      <c r="C11" s="1725">
        <f t="shared" si="1"/>
        <v>13835</v>
      </c>
      <c r="D11" s="1725">
        <v>17</v>
      </c>
      <c r="E11" s="1725">
        <v>13818</v>
      </c>
      <c r="F11" s="3144">
        <f>SUM(C11:C12)-G11</f>
        <v>2299</v>
      </c>
      <c r="G11" s="3144">
        <v>13456</v>
      </c>
      <c r="H11" s="1100">
        <v>64.599999999999994</v>
      </c>
      <c r="I11" s="1099">
        <f t="shared" si="0"/>
        <v>893741</v>
      </c>
      <c r="J11" s="3145">
        <f>+I11+I12</f>
        <v>1092691</v>
      </c>
    </row>
    <row r="12" spans="1:10" ht="20.25" customHeight="1" x14ac:dyDescent="0.4">
      <c r="A12" s="3140"/>
      <c r="B12" s="2066">
        <v>6</v>
      </c>
      <c r="C12" s="1725">
        <f t="shared" si="1"/>
        <v>1920</v>
      </c>
      <c r="D12" s="1725"/>
      <c r="E12" s="1725">
        <v>1920</v>
      </c>
      <c r="F12" s="3144"/>
      <c r="G12" s="3144"/>
      <c r="H12" s="1100">
        <v>103.62</v>
      </c>
      <c r="I12" s="1099">
        <f t="shared" si="0"/>
        <v>198950</v>
      </c>
      <c r="J12" s="3145"/>
    </row>
    <row r="13" spans="1:10" ht="20.25" customHeight="1" x14ac:dyDescent="0.4">
      <c r="A13" s="3140" t="s">
        <v>1353</v>
      </c>
      <c r="B13" s="2066">
        <v>2</v>
      </c>
      <c r="C13" s="1725">
        <f t="shared" si="1"/>
        <v>961</v>
      </c>
      <c r="D13" s="1725"/>
      <c r="E13" s="1725">
        <v>961</v>
      </c>
      <c r="F13" s="3144">
        <f>SUM(C13:C16)-G13</f>
        <v>301</v>
      </c>
      <c r="G13" s="3144">
        <v>1575</v>
      </c>
      <c r="H13" s="1100">
        <v>32</v>
      </c>
      <c r="I13" s="1099">
        <f t="shared" si="0"/>
        <v>30752</v>
      </c>
      <c r="J13" s="3145">
        <f>+I13+I14</f>
        <v>78127</v>
      </c>
    </row>
    <row r="14" spans="1:10" ht="20.25" customHeight="1" x14ac:dyDescent="0.4">
      <c r="A14" s="3140"/>
      <c r="B14" s="2066">
        <v>4</v>
      </c>
      <c r="C14" s="1725">
        <f t="shared" si="1"/>
        <v>763</v>
      </c>
      <c r="D14" s="1725">
        <v>52</v>
      </c>
      <c r="E14" s="1725">
        <v>711</v>
      </c>
      <c r="F14" s="3144"/>
      <c r="G14" s="3144"/>
      <c r="H14" s="1100">
        <v>62.09</v>
      </c>
      <c r="I14" s="1099">
        <f t="shared" si="0"/>
        <v>47375</v>
      </c>
      <c r="J14" s="3145"/>
    </row>
    <row r="15" spans="1:10" ht="20.25" customHeight="1" x14ac:dyDescent="0.4">
      <c r="A15" s="2070" t="s">
        <v>1292</v>
      </c>
      <c r="B15" s="2066">
        <v>6</v>
      </c>
      <c r="C15" s="1725">
        <f t="shared" si="1"/>
        <v>149</v>
      </c>
      <c r="D15" s="1725"/>
      <c r="E15" s="1725">
        <v>149</v>
      </c>
      <c r="F15" s="3144"/>
      <c r="G15" s="3144"/>
      <c r="H15" s="1100">
        <v>88.58</v>
      </c>
      <c r="I15" s="1099">
        <f t="shared" si="0"/>
        <v>13198</v>
      </c>
      <c r="J15" s="2057">
        <f>+I15</f>
        <v>13198</v>
      </c>
    </row>
    <row r="16" spans="1:10" ht="20.25" customHeight="1" x14ac:dyDescent="0.4">
      <c r="A16" s="2070" t="s">
        <v>1354</v>
      </c>
      <c r="B16" s="2066">
        <v>6</v>
      </c>
      <c r="C16" s="1725">
        <f t="shared" si="1"/>
        <v>3</v>
      </c>
      <c r="D16" s="1725">
        <v>3</v>
      </c>
      <c r="E16" s="1725"/>
      <c r="F16" s="3144"/>
      <c r="G16" s="3144"/>
      <c r="H16" s="1098">
        <v>74.5</v>
      </c>
      <c r="I16" s="1099">
        <f t="shared" si="0"/>
        <v>224</v>
      </c>
      <c r="J16" s="2057">
        <f>+I16</f>
        <v>224</v>
      </c>
    </row>
    <row r="17" spans="1:10" ht="20.25" customHeight="1" x14ac:dyDescent="0.4">
      <c r="A17" s="2070" t="s">
        <v>1290</v>
      </c>
      <c r="B17" s="2066">
        <v>4</v>
      </c>
      <c r="C17" s="1725">
        <f t="shared" si="1"/>
        <v>4379</v>
      </c>
      <c r="D17" s="1725">
        <f>615+13</f>
        <v>628</v>
      </c>
      <c r="E17" s="1725">
        <v>3751</v>
      </c>
      <c r="F17" s="1725">
        <f>C17-G17</f>
        <v>562</v>
      </c>
      <c r="G17" s="1725">
        <v>3817</v>
      </c>
      <c r="H17" s="1100">
        <v>61.83</v>
      </c>
      <c r="I17" s="1099">
        <f t="shared" si="0"/>
        <v>270754</v>
      </c>
      <c r="J17" s="2057">
        <f>+I17</f>
        <v>270754</v>
      </c>
    </row>
    <row r="18" spans="1:10" ht="20.25" customHeight="1" x14ac:dyDescent="0.4">
      <c r="A18" s="2070" t="s">
        <v>1355</v>
      </c>
      <c r="B18" s="2066">
        <v>4</v>
      </c>
      <c r="C18" s="1725">
        <f t="shared" si="1"/>
        <v>1256</v>
      </c>
      <c r="D18" s="1725">
        <v>50</v>
      </c>
      <c r="E18" s="1725">
        <v>1206</v>
      </c>
      <c r="F18" s="1725">
        <f>C18-G18</f>
        <v>197</v>
      </c>
      <c r="G18" s="1725">
        <v>1059</v>
      </c>
      <c r="H18" s="1100">
        <v>65.7</v>
      </c>
      <c r="I18" s="1099">
        <f t="shared" si="0"/>
        <v>82519</v>
      </c>
      <c r="J18" s="2057">
        <f>+I18</f>
        <v>82519</v>
      </c>
    </row>
    <row r="19" spans="1:10" ht="20.25" customHeight="1" x14ac:dyDescent="0.4">
      <c r="A19" s="3140" t="s">
        <v>1356</v>
      </c>
      <c r="B19" s="2067">
        <v>2</v>
      </c>
      <c r="C19" s="1725">
        <v>981</v>
      </c>
      <c r="D19" s="1102">
        <v>20</v>
      </c>
      <c r="E19" s="1101">
        <f>E13</f>
        <v>961</v>
      </c>
      <c r="F19" s="3146"/>
      <c r="G19" s="3147"/>
      <c r="H19" s="1103">
        <f>(C5*H5+C13*H13)/(C13+C5)</f>
        <v>32</v>
      </c>
      <c r="I19" s="1101">
        <f>+I5+I13</f>
        <v>30752</v>
      </c>
      <c r="J19" s="3148">
        <f>+SUM(I19:I22)</f>
        <v>2002818</v>
      </c>
    </row>
    <row r="20" spans="1:10" ht="20.25" customHeight="1" x14ac:dyDescent="0.4">
      <c r="A20" s="3140"/>
      <c r="B20" s="2067">
        <v>3</v>
      </c>
      <c r="C20" s="1725">
        <v>243</v>
      </c>
      <c r="D20" s="1102"/>
      <c r="E20" s="1101">
        <f>E6</f>
        <v>231</v>
      </c>
      <c r="F20" s="3147"/>
      <c r="G20" s="3147"/>
      <c r="H20" s="1103">
        <f t="shared" ref="H20:I20" si="2">+H6</f>
        <v>23.5</v>
      </c>
      <c r="I20" s="1101">
        <f t="shared" si="2"/>
        <v>5429</v>
      </c>
      <c r="J20" s="3148"/>
    </row>
    <row r="21" spans="1:10" ht="20.25" customHeight="1" x14ac:dyDescent="0.4">
      <c r="A21" s="3140"/>
      <c r="B21" s="2067">
        <v>4</v>
      </c>
      <c r="C21" s="1725">
        <v>27581</v>
      </c>
      <c r="D21" s="1102">
        <v>1953</v>
      </c>
      <c r="E21" s="1101">
        <f>E7+E8+E10+E11+E14+E17+E18+E25</f>
        <v>25883</v>
      </c>
      <c r="F21" s="3147"/>
      <c r="G21" s="3147"/>
      <c r="H21" s="1103">
        <f>(C7*H7+C8*H8+C10*H10+C11*H11+C14*H14+C17*H17+C18*H18)/(C18+C17+C14+C11+C10+C8+C7)</f>
        <v>63.109824081735432</v>
      </c>
      <c r="I21" s="1101">
        <f>+I7+I8+I10+I11+I14+I17+I18</f>
        <v>1754265</v>
      </c>
      <c r="J21" s="3148"/>
    </row>
    <row r="22" spans="1:10" ht="20.25" customHeight="1" x14ac:dyDescent="0.4">
      <c r="A22" s="3140"/>
      <c r="B22" s="2067">
        <v>6</v>
      </c>
      <c r="C22" s="1725">
        <v>2085</v>
      </c>
      <c r="D22" s="1102">
        <v>3</v>
      </c>
      <c r="E22" s="1101">
        <f>E12+E15</f>
        <v>2069</v>
      </c>
      <c r="F22" s="3147"/>
      <c r="G22" s="3147"/>
      <c r="H22" s="1103">
        <f>(C12*H12+C15*H15+C16*H16)/(C16+C15+C12)</f>
        <v>102.49629343629346</v>
      </c>
      <c r="I22" s="1101">
        <f>+I12+I15+I16</f>
        <v>212372</v>
      </c>
      <c r="J22" s="3148"/>
    </row>
    <row r="23" spans="1:10" ht="20.25" customHeight="1" x14ac:dyDescent="0.4">
      <c r="A23" s="3140" t="s">
        <v>1357</v>
      </c>
      <c r="B23" s="2066">
        <v>2</v>
      </c>
      <c r="C23" s="1725">
        <f t="shared" si="1"/>
        <v>20</v>
      </c>
      <c r="D23" s="1725">
        <v>20</v>
      </c>
      <c r="E23" s="1725"/>
      <c r="F23" s="1725">
        <f>C23-G23</f>
        <v>11</v>
      </c>
      <c r="G23" s="1725">
        <v>9</v>
      </c>
      <c r="H23" s="1104">
        <v>23</v>
      </c>
      <c r="I23" s="1725" t="s">
        <v>25</v>
      </c>
      <c r="J23" s="2058" t="s">
        <v>25</v>
      </c>
    </row>
    <row r="24" spans="1:10" ht="20.25" customHeight="1" x14ac:dyDescent="0.4">
      <c r="A24" s="3140"/>
      <c r="B24" s="2066">
        <v>4</v>
      </c>
      <c r="C24" s="1725">
        <f t="shared" si="1"/>
        <v>14</v>
      </c>
      <c r="D24" s="1725">
        <v>14</v>
      </c>
      <c r="E24" s="1725"/>
      <c r="F24" s="1725">
        <f>C24-G24</f>
        <v>4</v>
      </c>
      <c r="G24" s="1725">
        <v>10</v>
      </c>
      <c r="H24" s="1104" t="s">
        <v>25</v>
      </c>
      <c r="I24" s="1725" t="s">
        <v>25</v>
      </c>
      <c r="J24" s="2058" t="s">
        <v>25</v>
      </c>
    </row>
    <row r="25" spans="1:10" ht="20.25" customHeight="1" thickBot="1" x14ac:dyDescent="0.45">
      <c r="A25" s="2071" t="s">
        <v>1358</v>
      </c>
      <c r="B25" s="2068">
        <v>4</v>
      </c>
      <c r="C25" s="2053">
        <f t="shared" si="1"/>
        <v>25</v>
      </c>
      <c r="D25" s="2053">
        <v>20</v>
      </c>
      <c r="E25" s="2053">
        <v>5</v>
      </c>
      <c r="F25" s="2053">
        <f>C25-G25</f>
        <v>25</v>
      </c>
      <c r="G25" s="2053">
        <v>0</v>
      </c>
      <c r="H25" s="2054" t="s">
        <v>25</v>
      </c>
      <c r="I25" s="2053" t="s">
        <v>25</v>
      </c>
      <c r="J25" s="2059" t="s">
        <v>25</v>
      </c>
    </row>
    <row r="26" spans="1:10" ht="26.25" customHeight="1" thickBot="1" x14ac:dyDescent="0.45">
      <c r="A26" s="3141" t="s">
        <v>33</v>
      </c>
      <c r="B26" s="3142"/>
      <c r="C26" s="2055">
        <f>SUM(C6:C25)-SUM(C19:C22)</f>
        <v>31121</v>
      </c>
      <c r="D26" s="2055">
        <f>SUM(D7:D25)-SUM(D19:D22)</f>
        <v>1977</v>
      </c>
      <c r="E26" s="2055">
        <f>SUM(E6:E25)-SUM(E19:E22)</f>
        <v>29144</v>
      </c>
      <c r="F26" s="2055">
        <f>SUM(F6:F25)</f>
        <v>4976</v>
      </c>
      <c r="G26" s="2055">
        <f>SUM(G6:G25)</f>
        <v>26145</v>
      </c>
      <c r="H26" s="2055" t="s">
        <v>25</v>
      </c>
      <c r="I26" s="2055">
        <f>SUM(I19:I25)</f>
        <v>2002818</v>
      </c>
      <c r="J26" s="2056" t="s">
        <v>25</v>
      </c>
    </row>
    <row r="27" spans="1:10" x14ac:dyDescent="0.4">
      <c r="A27" s="3143" t="s">
        <v>1359</v>
      </c>
      <c r="B27" s="3143"/>
      <c r="C27" s="3143"/>
      <c r="D27" s="3143"/>
      <c r="E27" s="3143"/>
      <c r="F27" s="3143"/>
      <c r="G27" s="3143"/>
      <c r="H27" s="3143"/>
      <c r="I27" s="3143"/>
      <c r="J27" s="3143"/>
    </row>
    <row r="28" spans="1:10" x14ac:dyDescent="0.4">
      <c r="C28" s="1105"/>
      <c r="D28" s="1105"/>
      <c r="E28" s="1105"/>
      <c r="F28" s="1105"/>
      <c r="H28" s="1106"/>
    </row>
    <row r="29" spans="1:10" x14ac:dyDescent="0.4">
      <c r="C29" s="1105"/>
      <c r="D29" s="1105"/>
      <c r="E29" s="1105"/>
    </row>
    <row r="30" spans="1:10" x14ac:dyDescent="0.4">
      <c r="D30" s="1105"/>
      <c r="E30" s="1105"/>
    </row>
    <row r="31" spans="1:10" x14ac:dyDescent="0.4">
      <c r="D31" s="1105"/>
    </row>
  </sheetData>
  <mergeCells count="27">
    <mergeCell ref="A1:J1"/>
    <mergeCell ref="A2:J2"/>
    <mergeCell ref="A3:A4"/>
    <mergeCell ref="B3:B4"/>
    <mergeCell ref="C3:E3"/>
    <mergeCell ref="F3:F4"/>
    <mergeCell ref="G3:G4"/>
    <mergeCell ref="H3:H4"/>
    <mergeCell ref="I3:I4"/>
    <mergeCell ref="J3:J4"/>
    <mergeCell ref="A5:A7"/>
    <mergeCell ref="J5:J7"/>
    <mergeCell ref="A9:A10"/>
    <mergeCell ref="A11:A12"/>
    <mergeCell ref="F11:F12"/>
    <mergeCell ref="G11:G12"/>
    <mergeCell ref="J11:J12"/>
    <mergeCell ref="A23:A24"/>
    <mergeCell ref="A26:B26"/>
    <mergeCell ref="A27:J27"/>
    <mergeCell ref="A13:A14"/>
    <mergeCell ref="F13:F16"/>
    <mergeCell ref="G13:G16"/>
    <mergeCell ref="J13:J14"/>
    <mergeCell ref="A19:A22"/>
    <mergeCell ref="F19:G22"/>
    <mergeCell ref="J19:J22"/>
  </mergeCells>
  <printOptions horizontalCentered="1" verticalCentered="1"/>
  <pageMargins left="0.19685039370078741" right="0.19685039370078741" top="0.78740157480314965" bottom="0.78740157480314965" header="0.31496062992125984" footer="0.51181102362204722"/>
  <pageSetup paperSize="9" scale="75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FFFF00"/>
  </sheetPr>
  <dimension ref="A1:R28"/>
  <sheetViews>
    <sheetView rightToLeft="1" zoomScale="80" zoomScaleNormal="80" workbookViewId="0">
      <selection activeCell="A2" sqref="A2:B3"/>
    </sheetView>
  </sheetViews>
  <sheetFormatPr defaultColWidth="8.125" defaultRowHeight="15.75" x14ac:dyDescent="0.4"/>
  <cols>
    <col min="1" max="2" width="5.5" style="141" customWidth="1"/>
    <col min="3" max="18" width="8" style="141" customWidth="1"/>
    <col min="19" max="16384" width="8.125" style="141"/>
  </cols>
  <sheetData>
    <row r="1" spans="1:18" ht="39" customHeight="1" thickBot="1" x14ac:dyDescent="0.45">
      <c r="A1" s="2847" t="s">
        <v>1927</v>
      </c>
      <c r="B1" s="2847"/>
      <c r="C1" s="2847"/>
      <c r="D1" s="2847"/>
      <c r="E1" s="2847"/>
      <c r="F1" s="2847"/>
      <c r="G1" s="2847"/>
      <c r="H1" s="2847"/>
      <c r="I1" s="2847"/>
      <c r="J1" s="2847"/>
      <c r="K1" s="2847"/>
      <c r="L1" s="2847"/>
      <c r="M1" s="2847"/>
      <c r="N1" s="2847"/>
      <c r="O1" s="2847"/>
      <c r="P1" s="2847"/>
      <c r="Q1" s="2847"/>
      <c r="R1" s="2847"/>
    </row>
    <row r="2" spans="1:18" ht="38.25" customHeight="1" x14ac:dyDescent="0.4">
      <c r="A2" s="3171" t="s">
        <v>1940</v>
      </c>
      <c r="B2" s="3172"/>
      <c r="C2" s="3175" t="s">
        <v>1388</v>
      </c>
      <c r="D2" s="3176"/>
      <c r="E2" s="3176"/>
      <c r="F2" s="3176" t="s">
        <v>1389</v>
      </c>
      <c r="G2" s="3176"/>
      <c r="H2" s="3176" t="s">
        <v>1390</v>
      </c>
      <c r="I2" s="3176"/>
      <c r="J2" s="3176"/>
      <c r="K2" s="3176"/>
      <c r="L2" s="3177" t="s">
        <v>1391</v>
      </c>
      <c r="M2" s="3177"/>
      <c r="N2" s="3178" t="s">
        <v>1392</v>
      </c>
      <c r="O2" s="3177" t="s">
        <v>1393</v>
      </c>
      <c r="P2" s="3177"/>
      <c r="Q2" s="3177"/>
      <c r="R2" s="3180" t="s">
        <v>1394</v>
      </c>
    </row>
    <row r="3" spans="1:18" ht="38.25" customHeight="1" thickBot="1" x14ac:dyDescent="0.45">
      <c r="A3" s="3173"/>
      <c r="B3" s="3174"/>
      <c r="C3" s="2021" t="s">
        <v>1395</v>
      </c>
      <c r="D3" s="2022" t="s">
        <v>1396</v>
      </c>
      <c r="E3" s="2022" t="s">
        <v>1397</v>
      </c>
      <c r="F3" s="2022" t="s">
        <v>1398</v>
      </c>
      <c r="G3" s="2022" t="s">
        <v>1399</v>
      </c>
      <c r="H3" s="2022" t="s">
        <v>1395</v>
      </c>
      <c r="I3" s="2022" t="s">
        <v>1400</v>
      </c>
      <c r="J3" s="2022" t="s">
        <v>1363</v>
      </c>
      <c r="K3" s="2022" t="s">
        <v>1401</v>
      </c>
      <c r="L3" s="2022" t="s">
        <v>1398</v>
      </c>
      <c r="M3" s="2022" t="s">
        <v>1399</v>
      </c>
      <c r="N3" s="3179"/>
      <c r="O3" s="2023" t="s">
        <v>1400</v>
      </c>
      <c r="P3" s="2023" t="s">
        <v>1402</v>
      </c>
      <c r="Q3" s="2023" t="s">
        <v>1403</v>
      </c>
      <c r="R3" s="3181"/>
    </row>
    <row r="4" spans="1:18" ht="16.5" customHeight="1" x14ac:dyDescent="0.4">
      <c r="A4" s="3167" t="s">
        <v>107</v>
      </c>
      <c r="B4" s="3168"/>
      <c r="C4" s="2019" t="s">
        <v>1404</v>
      </c>
      <c r="D4" s="2010" t="s">
        <v>1404</v>
      </c>
      <c r="E4" s="2010" t="s">
        <v>1404</v>
      </c>
      <c r="F4" s="2010">
        <v>1</v>
      </c>
      <c r="G4" s="2010">
        <v>1</v>
      </c>
      <c r="H4" s="2011" t="s">
        <v>25</v>
      </c>
      <c r="I4" s="2011" t="s">
        <v>1404</v>
      </c>
      <c r="J4" s="2012" t="s">
        <v>1404</v>
      </c>
      <c r="K4" s="2012" t="s">
        <v>1404</v>
      </c>
      <c r="L4" s="2012">
        <v>0</v>
      </c>
      <c r="M4" s="2013">
        <v>1</v>
      </c>
      <c r="N4" s="2014" t="s">
        <v>25</v>
      </c>
      <c r="O4" s="2015" t="s">
        <v>25</v>
      </c>
      <c r="P4" s="2014" t="s">
        <v>1404</v>
      </c>
      <c r="Q4" s="2014" t="s">
        <v>1404</v>
      </c>
      <c r="R4" s="2016">
        <v>2</v>
      </c>
    </row>
    <row r="5" spans="1:18" ht="16.5" customHeight="1" x14ac:dyDescent="0.4">
      <c r="A5" s="3162" t="s">
        <v>112</v>
      </c>
      <c r="B5" s="3163"/>
      <c r="C5" s="2020" t="s">
        <v>25</v>
      </c>
      <c r="D5" s="1112" t="s">
        <v>25</v>
      </c>
      <c r="E5" s="1112" t="s">
        <v>25</v>
      </c>
      <c r="F5" s="1112">
        <v>0</v>
      </c>
      <c r="G5" s="1112">
        <v>0</v>
      </c>
      <c r="H5" s="1113" t="s">
        <v>25</v>
      </c>
      <c r="I5" s="1113" t="s">
        <v>25</v>
      </c>
      <c r="J5" s="1114" t="s">
        <v>1404</v>
      </c>
      <c r="K5" s="1114" t="s">
        <v>1404</v>
      </c>
      <c r="L5" s="1114">
        <v>0</v>
      </c>
      <c r="M5" s="1115">
        <v>0</v>
      </c>
      <c r="N5" s="1116" t="s">
        <v>25</v>
      </c>
      <c r="O5" s="1117" t="s">
        <v>25</v>
      </c>
      <c r="P5" s="1116" t="s">
        <v>1404</v>
      </c>
      <c r="Q5" s="1116" t="s">
        <v>1404</v>
      </c>
      <c r="R5" s="2017">
        <v>1</v>
      </c>
    </row>
    <row r="6" spans="1:18" ht="16.5" customHeight="1" x14ac:dyDescent="0.4">
      <c r="A6" s="3162" t="s">
        <v>111</v>
      </c>
      <c r="B6" s="3163"/>
      <c r="C6" s="2020" t="s">
        <v>25</v>
      </c>
      <c r="D6" s="1112" t="s">
        <v>1404</v>
      </c>
      <c r="E6" s="1112" t="s">
        <v>25</v>
      </c>
      <c r="F6" s="1112">
        <v>1</v>
      </c>
      <c r="G6" s="1112">
        <v>0</v>
      </c>
      <c r="H6" s="1113" t="s">
        <v>25</v>
      </c>
      <c r="I6" s="1113" t="s">
        <v>25</v>
      </c>
      <c r="J6" s="1114" t="s">
        <v>1404</v>
      </c>
      <c r="K6" s="1114" t="s">
        <v>1404</v>
      </c>
      <c r="L6" s="1114">
        <v>0</v>
      </c>
      <c r="M6" s="1115">
        <v>1</v>
      </c>
      <c r="N6" s="1116" t="s">
        <v>25</v>
      </c>
      <c r="O6" s="1117" t="s">
        <v>25</v>
      </c>
      <c r="P6" s="1116" t="s">
        <v>1404</v>
      </c>
      <c r="Q6" s="1116" t="s">
        <v>1404</v>
      </c>
      <c r="R6" s="2017">
        <v>1</v>
      </c>
    </row>
    <row r="7" spans="1:18" ht="16.5" customHeight="1" x14ac:dyDescent="0.4">
      <c r="A7" s="3162" t="s">
        <v>198</v>
      </c>
      <c r="B7" s="3163"/>
      <c r="C7" s="2020" t="s">
        <v>1404</v>
      </c>
      <c r="D7" s="1112" t="s">
        <v>1404</v>
      </c>
      <c r="E7" s="1112" t="s">
        <v>1404</v>
      </c>
      <c r="F7" s="1112">
        <v>0</v>
      </c>
      <c r="G7" s="1112">
        <v>4</v>
      </c>
      <c r="H7" s="1112" t="s">
        <v>1404</v>
      </c>
      <c r="I7" s="1114" t="s">
        <v>1404</v>
      </c>
      <c r="J7" s="1114" t="s">
        <v>1404</v>
      </c>
      <c r="K7" s="1114" t="s">
        <v>1404</v>
      </c>
      <c r="L7" s="1114">
        <v>0</v>
      </c>
      <c r="M7" s="1115">
        <v>1</v>
      </c>
      <c r="N7" s="1116" t="s">
        <v>25</v>
      </c>
      <c r="O7" s="1117" t="s">
        <v>25</v>
      </c>
      <c r="P7" s="1116" t="s">
        <v>1404</v>
      </c>
      <c r="Q7" s="1116" t="s">
        <v>1404</v>
      </c>
      <c r="R7" s="2017">
        <v>1</v>
      </c>
    </row>
    <row r="8" spans="1:18" ht="16.5" customHeight="1" x14ac:dyDescent="0.4">
      <c r="A8" s="3169" t="s">
        <v>1405</v>
      </c>
      <c r="B8" s="3170"/>
      <c r="C8" s="2020" t="s">
        <v>25</v>
      </c>
      <c r="D8" s="1112" t="s">
        <v>25</v>
      </c>
      <c r="E8" s="1112" t="s">
        <v>25</v>
      </c>
      <c r="F8" s="1112">
        <v>0</v>
      </c>
      <c r="G8" s="1112">
        <v>0</v>
      </c>
      <c r="H8" s="1114" t="s">
        <v>1404</v>
      </c>
      <c r="I8" s="1114" t="s">
        <v>1404</v>
      </c>
      <c r="J8" s="1114" t="s">
        <v>1404</v>
      </c>
      <c r="K8" s="1114" t="s">
        <v>1404</v>
      </c>
      <c r="L8" s="1114">
        <v>0</v>
      </c>
      <c r="M8" s="1115">
        <v>3</v>
      </c>
      <c r="N8" s="984" t="s">
        <v>1404</v>
      </c>
      <c r="O8" s="984" t="s">
        <v>1404</v>
      </c>
      <c r="P8" s="1116" t="s">
        <v>1404</v>
      </c>
      <c r="Q8" s="1116" t="s">
        <v>1404</v>
      </c>
      <c r="R8" s="2017">
        <v>2</v>
      </c>
    </row>
    <row r="9" spans="1:18" ht="16.5" customHeight="1" x14ac:dyDescent="0.4">
      <c r="A9" s="3162" t="s">
        <v>199</v>
      </c>
      <c r="B9" s="3163"/>
      <c r="C9" s="2020" t="s">
        <v>25</v>
      </c>
      <c r="D9" s="1112" t="s">
        <v>1404</v>
      </c>
      <c r="E9" s="1112" t="s">
        <v>25</v>
      </c>
      <c r="F9" s="1112">
        <v>1</v>
      </c>
      <c r="G9" s="1112">
        <v>0</v>
      </c>
      <c r="H9" s="1113" t="s">
        <v>25</v>
      </c>
      <c r="I9" s="1113" t="s">
        <v>25</v>
      </c>
      <c r="J9" s="1114" t="s">
        <v>1404</v>
      </c>
      <c r="K9" s="1114" t="s">
        <v>1404</v>
      </c>
      <c r="L9" s="1114">
        <v>0</v>
      </c>
      <c r="M9" s="1115">
        <v>0</v>
      </c>
      <c r="N9" s="1116" t="s">
        <v>25</v>
      </c>
      <c r="O9" s="1117" t="s">
        <v>25</v>
      </c>
      <c r="P9" s="1116" t="s">
        <v>1404</v>
      </c>
      <c r="Q9" s="1116" t="s">
        <v>1404</v>
      </c>
      <c r="R9" s="2017">
        <v>2</v>
      </c>
    </row>
    <row r="10" spans="1:18" ht="16.5" customHeight="1" x14ac:dyDescent="0.4">
      <c r="A10" s="3162" t="s">
        <v>589</v>
      </c>
      <c r="B10" s="3163"/>
      <c r="C10" s="2020" t="s">
        <v>1404</v>
      </c>
      <c r="D10" s="1112" t="s">
        <v>1404</v>
      </c>
      <c r="E10" s="1112" t="s">
        <v>1404</v>
      </c>
      <c r="F10" s="1112">
        <v>0</v>
      </c>
      <c r="G10" s="1112">
        <v>1</v>
      </c>
      <c r="H10" s="1113" t="s">
        <v>25</v>
      </c>
      <c r="I10" s="1113" t="s">
        <v>25</v>
      </c>
      <c r="J10" s="1114" t="s">
        <v>1404</v>
      </c>
      <c r="K10" s="1114" t="s">
        <v>1404</v>
      </c>
      <c r="L10" s="1114">
        <v>0</v>
      </c>
      <c r="M10" s="1115">
        <v>0</v>
      </c>
      <c r="N10" s="1116" t="s">
        <v>25</v>
      </c>
      <c r="O10" s="1117" t="s">
        <v>25</v>
      </c>
      <c r="P10" s="1116" t="s">
        <v>1404</v>
      </c>
      <c r="Q10" s="1116" t="s">
        <v>1404</v>
      </c>
      <c r="R10" s="2017">
        <v>2</v>
      </c>
    </row>
    <row r="11" spans="1:18" ht="16.5" customHeight="1" x14ac:dyDescent="0.4">
      <c r="A11" s="3162" t="s">
        <v>590</v>
      </c>
      <c r="B11" s="3163"/>
      <c r="C11" s="2020" t="s">
        <v>1404</v>
      </c>
      <c r="D11" s="1112" t="s">
        <v>1404</v>
      </c>
      <c r="E11" s="1112" t="s">
        <v>1404</v>
      </c>
      <c r="F11" s="1112">
        <v>0</v>
      </c>
      <c r="G11" s="1112">
        <v>1</v>
      </c>
      <c r="H11" s="1113" t="s">
        <v>25</v>
      </c>
      <c r="I11" s="1113" t="s">
        <v>25</v>
      </c>
      <c r="J11" s="1114" t="s">
        <v>1404</v>
      </c>
      <c r="K11" s="1114" t="s">
        <v>1404</v>
      </c>
      <c r="L11" s="1114">
        <v>1</v>
      </c>
      <c r="M11" s="1115">
        <v>0</v>
      </c>
      <c r="N11" s="1116" t="s">
        <v>25</v>
      </c>
      <c r="O11" s="1117" t="s">
        <v>25</v>
      </c>
      <c r="P11" s="1116" t="s">
        <v>1404</v>
      </c>
      <c r="Q11" s="1116" t="s">
        <v>1404</v>
      </c>
      <c r="R11" s="2017">
        <v>1</v>
      </c>
    </row>
    <row r="12" spans="1:18" ht="16.5" customHeight="1" x14ac:dyDescent="0.4">
      <c r="A12" s="3162" t="s">
        <v>1406</v>
      </c>
      <c r="B12" s="3163"/>
      <c r="C12" s="2020" t="s">
        <v>25</v>
      </c>
      <c r="D12" s="1112" t="s">
        <v>25</v>
      </c>
      <c r="E12" s="1112" t="s">
        <v>25</v>
      </c>
      <c r="F12" s="1112">
        <v>0</v>
      </c>
      <c r="G12" s="1112">
        <v>0</v>
      </c>
      <c r="H12" s="1112" t="s">
        <v>1404</v>
      </c>
      <c r="I12" s="1114" t="s">
        <v>1404</v>
      </c>
      <c r="J12" s="1114" t="s">
        <v>1404</v>
      </c>
      <c r="K12" s="1114" t="s">
        <v>1404</v>
      </c>
      <c r="L12" s="1114">
        <v>0</v>
      </c>
      <c r="M12" s="1115">
        <v>1</v>
      </c>
      <c r="N12" s="1116" t="s">
        <v>25</v>
      </c>
      <c r="O12" s="1117" t="s">
        <v>25</v>
      </c>
      <c r="P12" s="1116" t="s">
        <v>1404</v>
      </c>
      <c r="Q12" s="1116" t="s">
        <v>1404</v>
      </c>
      <c r="R12" s="2017">
        <v>2</v>
      </c>
    </row>
    <row r="13" spans="1:18" ht="16.5" customHeight="1" x14ac:dyDescent="0.4">
      <c r="A13" s="3162" t="s">
        <v>110</v>
      </c>
      <c r="B13" s="3163"/>
      <c r="C13" s="2020" t="s">
        <v>1404</v>
      </c>
      <c r="D13" s="1112" t="s">
        <v>1404</v>
      </c>
      <c r="E13" s="1112" t="s">
        <v>1404</v>
      </c>
      <c r="F13" s="1112">
        <v>1</v>
      </c>
      <c r="G13" s="1112">
        <v>1</v>
      </c>
      <c r="H13" s="1112" t="s">
        <v>25</v>
      </c>
      <c r="I13" s="1113" t="s">
        <v>25</v>
      </c>
      <c r="J13" s="1114" t="s">
        <v>1404</v>
      </c>
      <c r="K13" s="1114" t="s">
        <v>1404</v>
      </c>
      <c r="L13" s="1114">
        <v>0</v>
      </c>
      <c r="M13" s="1115">
        <v>1</v>
      </c>
      <c r="N13" s="1116" t="s">
        <v>25</v>
      </c>
      <c r="O13" s="1117" t="s">
        <v>25</v>
      </c>
      <c r="P13" s="1116" t="s">
        <v>1404</v>
      </c>
      <c r="Q13" s="1116" t="s">
        <v>1404</v>
      </c>
      <c r="R13" s="2017">
        <v>2</v>
      </c>
    </row>
    <row r="14" spans="1:18" ht="16.5" customHeight="1" x14ac:dyDescent="0.4">
      <c r="A14" s="3162" t="s">
        <v>201</v>
      </c>
      <c r="B14" s="3163"/>
      <c r="C14" s="2020" t="s">
        <v>1404</v>
      </c>
      <c r="D14" s="1112" t="s">
        <v>1404</v>
      </c>
      <c r="E14" s="1112" t="s">
        <v>1404</v>
      </c>
      <c r="F14" s="1112">
        <v>0</v>
      </c>
      <c r="G14" s="1112">
        <v>1</v>
      </c>
      <c r="H14" s="1114" t="s">
        <v>1404</v>
      </c>
      <c r="I14" s="1114" t="s">
        <v>1404</v>
      </c>
      <c r="J14" s="1114" t="s">
        <v>1404</v>
      </c>
      <c r="K14" s="1114" t="s">
        <v>1404</v>
      </c>
      <c r="L14" s="1114">
        <v>0</v>
      </c>
      <c r="M14" s="1115">
        <v>1</v>
      </c>
      <c r="N14" s="1116" t="s">
        <v>25</v>
      </c>
      <c r="O14" s="1117" t="s">
        <v>25</v>
      </c>
      <c r="P14" s="1116" t="s">
        <v>1404</v>
      </c>
      <c r="Q14" s="1116" t="s">
        <v>1404</v>
      </c>
      <c r="R14" s="2017">
        <v>2</v>
      </c>
    </row>
    <row r="15" spans="1:18" ht="16.5" customHeight="1" x14ac:dyDescent="0.4">
      <c r="A15" s="3162" t="s">
        <v>97</v>
      </c>
      <c r="B15" s="3163"/>
      <c r="C15" s="2020" t="s">
        <v>1404</v>
      </c>
      <c r="D15" s="1112" t="s">
        <v>1404</v>
      </c>
      <c r="E15" s="1112" t="s">
        <v>1404</v>
      </c>
      <c r="F15" s="1112">
        <v>0</v>
      </c>
      <c r="G15" s="1112">
        <v>3</v>
      </c>
      <c r="H15" s="1113" t="s">
        <v>25</v>
      </c>
      <c r="I15" s="1113" t="s">
        <v>25</v>
      </c>
      <c r="J15" s="1114" t="s">
        <v>1404</v>
      </c>
      <c r="K15" s="1114" t="s">
        <v>1404</v>
      </c>
      <c r="L15" s="1114">
        <v>0</v>
      </c>
      <c r="M15" s="1115">
        <v>1</v>
      </c>
      <c r="N15" s="1116" t="s">
        <v>25</v>
      </c>
      <c r="O15" s="1117" t="s">
        <v>25</v>
      </c>
      <c r="P15" s="1116" t="s">
        <v>1404</v>
      </c>
      <c r="Q15" s="1116" t="s">
        <v>1404</v>
      </c>
      <c r="R15" s="2017">
        <v>1</v>
      </c>
    </row>
    <row r="16" spans="1:18" ht="16.5" customHeight="1" x14ac:dyDescent="0.4">
      <c r="A16" s="3162" t="s">
        <v>95</v>
      </c>
      <c r="B16" s="3163"/>
      <c r="C16" s="2020" t="s">
        <v>1404</v>
      </c>
      <c r="D16" s="1112" t="s">
        <v>1404</v>
      </c>
      <c r="E16" s="1112" t="s">
        <v>1404</v>
      </c>
      <c r="F16" s="1112">
        <v>1</v>
      </c>
      <c r="G16" s="1112">
        <v>1</v>
      </c>
      <c r="H16" s="1113" t="s">
        <v>25</v>
      </c>
      <c r="I16" s="1113" t="s">
        <v>25</v>
      </c>
      <c r="J16" s="1114" t="s">
        <v>1404</v>
      </c>
      <c r="K16" s="1114" t="s">
        <v>1404</v>
      </c>
      <c r="L16" s="1114">
        <v>0</v>
      </c>
      <c r="M16" s="1115">
        <v>0</v>
      </c>
      <c r="N16" s="1116" t="s">
        <v>25</v>
      </c>
      <c r="O16" s="1116" t="s">
        <v>25</v>
      </c>
      <c r="P16" s="1116" t="s">
        <v>1404</v>
      </c>
      <c r="Q16" s="1116" t="s">
        <v>1404</v>
      </c>
      <c r="R16" s="2017">
        <v>1</v>
      </c>
    </row>
    <row r="17" spans="1:18" ht="16.5" customHeight="1" x14ac:dyDescent="0.4">
      <c r="A17" s="3162" t="s">
        <v>101</v>
      </c>
      <c r="B17" s="3163"/>
      <c r="C17" s="2020" t="s">
        <v>1404</v>
      </c>
      <c r="D17" s="1112" t="s">
        <v>1404</v>
      </c>
      <c r="E17" s="1112" t="s">
        <v>1404</v>
      </c>
      <c r="F17" s="1112">
        <v>0</v>
      </c>
      <c r="G17" s="1112">
        <v>1</v>
      </c>
      <c r="H17" s="1113" t="s">
        <v>25</v>
      </c>
      <c r="I17" s="1113" t="s">
        <v>25</v>
      </c>
      <c r="J17" s="1114" t="s">
        <v>1404</v>
      </c>
      <c r="K17" s="1114" t="s">
        <v>1404</v>
      </c>
      <c r="L17" s="1114">
        <v>0</v>
      </c>
      <c r="M17" s="1115">
        <v>1</v>
      </c>
      <c r="N17" s="1116" t="s">
        <v>25</v>
      </c>
      <c r="O17" s="1117" t="s">
        <v>25</v>
      </c>
      <c r="P17" s="1116" t="s">
        <v>1404</v>
      </c>
      <c r="Q17" s="1116" t="s">
        <v>1404</v>
      </c>
      <c r="R17" s="2017">
        <v>2</v>
      </c>
    </row>
    <row r="18" spans="1:18" ht="16.5" customHeight="1" x14ac:dyDescent="0.4">
      <c r="A18" s="3162" t="s">
        <v>96</v>
      </c>
      <c r="B18" s="3163"/>
      <c r="C18" s="2020" t="s">
        <v>25</v>
      </c>
      <c r="D18" s="1112" t="s">
        <v>25</v>
      </c>
      <c r="E18" s="1112" t="s">
        <v>25</v>
      </c>
      <c r="F18" s="1112">
        <v>0</v>
      </c>
      <c r="G18" s="1112">
        <v>0</v>
      </c>
      <c r="H18" s="1113" t="s">
        <v>25</v>
      </c>
      <c r="I18" s="1113" t="s">
        <v>25</v>
      </c>
      <c r="J18" s="1114" t="s">
        <v>1404</v>
      </c>
      <c r="K18" s="1114" t="s">
        <v>1404</v>
      </c>
      <c r="L18" s="1114">
        <v>0</v>
      </c>
      <c r="M18" s="1115">
        <v>0</v>
      </c>
      <c r="N18" s="1116" t="s">
        <v>25</v>
      </c>
      <c r="O18" s="1117" t="s">
        <v>25</v>
      </c>
      <c r="P18" s="1116" t="s">
        <v>1404</v>
      </c>
      <c r="Q18" s="1116" t="s">
        <v>1404</v>
      </c>
      <c r="R18" s="2017">
        <v>2</v>
      </c>
    </row>
    <row r="19" spans="1:18" ht="16.5" customHeight="1" x14ac:dyDescent="0.4">
      <c r="A19" s="3162" t="s">
        <v>106</v>
      </c>
      <c r="B19" s="3163"/>
      <c r="C19" s="2020" t="s">
        <v>25</v>
      </c>
      <c r="D19" s="1112" t="s">
        <v>25</v>
      </c>
      <c r="E19" s="1112" t="s">
        <v>25</v>
      </c>
      <c r="F19" s="1112">
        <v>0</v>
      </c>
      <c r="G19" s="1112">
        <v>0</v>
      </c>
      <c r="H19" s="1113" t="s">
        <v>25</v>
      </c>
      <c r="I19" s="1113" t="s">
        <v>25</v>
      </c>
      <c r="J19" s="1114" t="s">
        <v>1404</v>
      </c>
      <c r="K19" s="1114" t="s">
        <v>1404</v>
      </c>
      <c r="L19" s="1114">
        <v>0</v>
      </c>
      <c r="M19" s="1115">
        <v>0</v>
      </c>
      <c r="N19" s="1116" t="s">
        <v>25</v>
      </c>
      <c r="O19" s="1117" t="s">
        <v>25</v>
      </c>
      <c r="P19" s="1116" t="s">
        <v>1404</v>
      </c>
      <c r="Q19" s="1116" t="s">
        <v>1404</v>
      </c>
      <c r="R19" s="2017">
        <v>1</v>
      </c>
    </row>
    <row r="20" spans="1:18" ht="16.5" customHeight="1" x14ac:dyDescent="0.4">
      <c r="A20" s="3162" t="s">
        <v>105</v>
      </c>
      <c r="B20" s="3163"/>
      <c r="C20" s="2020" t="s">
        <v>1404</v>
      </c>
      <c r="D20" s="1112" t="s">
        <v>1404</v>
      </c>
      <c r="E20" s="1112" t="s">
        <v>1404</v>
      </c>
      <c r="F20" s="1112">
        <v>1</v>
      </c>
      <c r="G20" s="1112">
        <v>1</v>
      </c>
      <c r="H20" s="1113" t="s">
        <v>1404</v>
      </c>
      <c r="I20" s="1113" t="s">
        <v>1404</v>
      </c>
      <c r="J20" s="1114" t="s">
        <v>1404</v>
      </c>
      <c r="K20" s="1114" t="s">
        <v>1404</v>
      </c>
      <c r="L20" s="1114">
        <v>0</v>
      </c>
      <c r="M20" s="1115">
        <v>2</v>
      </c>
      <c r="N20" s="1116" t="s">
        <v>25</v>
      </c>
      <c r="O20" s="1117" t="s">
        <v>25</v>
      </c>
      <c r="P20" s="1116" t="s">
        <v>1404</v>
      </c>
      <c r="Q20" s="1116" t="s">
        <v>1404</v>
      </c>
      <c r="R20" s="2017">
        <v>2</v>
      </c>
    </row>
    <row r="21" spans="1:18" ht="16.5" customHeight="1" x14ac:dyDescent="0.4">
      <c r="A21" s="3162" t="s">
        <v>104</v>
      </c>
      <c r="B21" s="3163"/>
      <c r="C21" s="2020" t="s">
        <v>1404</v>
      </c>
      <c r="D21" s="1112" t="s">
        <v>1404</v>
      </c>
      <c r="E21" s="1112" t="s">
        <v>1404</v>
      </c>
      <c r="F21" s="1112">
        <v>0</v>
      </c>
      <c r="G21" s="1112">
        <v>1</v>
      </c>
      <c r="H21" s="1112" t="s">
        <v>25</v>
      </c>
      <c r="I21" s="1112" t="s">
        <v>25</v>
      </c>
      <c r="J21" s="1114" t="s">
        <v>1404</v>
      </c>
      <c r="K21" s="1114" t="s">
        <v>1404</v>
      </c>
      <c r="L21" s="1114">
        <v>0</v>
      </c>
      <c r="M21" s="1115">
        <v>0</v>
      </c>
      <c r="N21" s="1116" t="s">
        <v>25</v>
      </c>
      <c r="O21" s="1117" t="s">
        <v>25</v>
      </c>
      <c r="P21" s="1116" t="s">
        <v>1404</v>
      </c>
      <c r="Q21" s="1116" t="s">
        <v>1404</v>
      </c>
      <c r="R21" s="2017">
        <v>1</v>
      </c>
    </row>
    <row r="22" spans="1:18" ht="16.5" customHeight="1" x14ac:dyDescent="0.4">
      <c r="A22" s="3162" t="s">
        <v>108</v>
      </c>
      <c r="B22" s="3163"/>
      <c r="C22" s="2020" t="s">
        <v>25</v>
      </c>
      <c r="D22" s="1112" t="s">
        <v>1404</v>
      </c>
      <c r="E22" s="1112" t="s">
        <v>25</v>
      </c>
      <c r="F22" s="1112">
        <v>1</v>
      </c>
      <c r="G22" s="1112">
        <v>0</v>
      </c>
      <c r="H22" s="1113" t="s">
        <v>25</v>
      </c>
      <c r="I22" s="1113" t="s">
        <v>25</v>
      </c>
      <c r="J22" s="1114" t="s">
        <v>1404</v>
      </c>
      <c r="K22" s="1114" t="s">
        <v>1404</v>
      </c>
      <c r="L22" s="1114">
        <v>0</v>
      </c>
      <c r="M22" s="1115">
        <v>0</v>
      </c>
      <c r="N22" s="1116" t="s">
        <v>25</v>
      </c>
      <c r="O22" s="1117" t="s">
        <v>25</v>
      </c>
      <c r="P22" s="1116" t="s">
        <v>1404</v>
      </c>
      <c r="Q22" s="1116" t="s">
        <v>1404</v>
      </c>
      <c r="R22" s="2017">
        <v>1</v>
      </c>
    </row>
    <row r="23" spans="1:18" ht="16.5" customHeight="1" x14ac:dyDescent="0.4">
      <c r="A23" s="3162" t="s">
        <v>1407</v>
      </c>
      <c r="B23" s="3163"/>
      <c r="C23" s="2020" t="s">
        <v>1404</v>
      </c>
      <c r="D23" s="1112" t="s">
        <v>1404</v>
      </c>
      <c r="E23" s="1112" t="s">
        <v>1404</v>
      </c>
      <c r="F23" s="1112">
        <v>0</v>
      </c>
      <c r="G23" s="1112">
        <v>1</v>
      </c>
      <c r="H23" s="1112" t="s">
        <v>25</v>
      </c>
      <c r="I23" s="1112" t="s">
        <v>25</v>
      </c>
      <c r="J23" s="1112" t="s">
        <v>25</v>
      </c>
      <c r="K23" s="1112" t="s">
        <v>25</v>
      </c>
      <c r="L23" s="1114">
        <v>0</v>
      </c>
      <c r="M23" s="1115">
        <v>0</v>
      </c>
      <c r="N23" s="1116" t="s">
        <v>25</v>
      </c>
      <c r="O23" s="1117" t="s">
        <v>25</v>
      </c>
      <c r="P23" s="1117" t="s">
        <v>25</v>
      </c>
      <c r="Q23" s="1117" t="s">
        <v>25</v>
      </c>
      <c r="R23" s="2018">
        <v>0</v>
      </c>
    </row>
    <row r="24" spans="1:18" ht="21" thickBot="1" x14ac:dyDescent="0.45">
      <c r="A24" s="3164" t="s">
        <v>1009</v>
      </c>
      <c r="B24" s="3165"/>
      <c r="C24" s="2024" t="s">
        <v>25</v>
      </c>
      <c r="D24" s="2025" t="s">
        <v>25</v>
      </c>
      <c r="E24" s="2025" t="s">
        <v>25</v>
      </c>
      <c r="F24" s="2025">
        <f>SUM(F4:F23)</f>
        <v>7</v>
      </c>
      <c r="G24" s="2025">
        <f>SUM(G4:G23)</f>
        <v>17</v>
      </c>
      <c r="H24" s="2025" t="s">
        <v>25</v>
      </c>
      <c r="I24" s="2025" t="s">
        <v>25</v>
      </c>
      <c r="J24" s="2025" t="s">
        <v>25</v>
      </c>
      <c r="K24" s="2025" t="s">
        <v>25</v>
      </c>
      <c r="L24" s="2025">
        <f>SUM(L4:L23)</f>
        <v>1</v>
      </c>
      <c r="M24" s="2026">
        <f>SUM(M4:M23)</f>
        <v>13</v>
      </c>
      <c r="N24" s="2027" t="s">
        <v>25</v>
      </c>
      <c r="O24" s="2027" t="s">
        <v>25</v>
      </c>
      <c r="P24" s="2027" t="s">
        <v>25</v>
      </c>
      <c r="Q24" s="2027" t="s">
        <v>25</v>
      </c>
      <c r="R24" s="2028">
        <f>SUM(R4:R23)</f>
        <v>29</v>
      </c>
    </row>
    <row r="25" spans="1:18" ht="7.5" customHeight="1" x14ac:dyDescent="0.4">
      <c r="A25" s="39"/>
      <c r="B25" s="3166"/>
      <c r="C25" s="3166"/>
      <c r="D25" s="3166"/>
      <c r="E25" s="3166"/>
      <c r="F25" s="3166"/>
      <c r="G25" s="3166"/>
      <c r="H25" s="3166"/>
      <c r="I25" s="3166"/>
      <c r="J25" s="3166"/>
      <c r="K25" s="3166"/>
      <c r="L25" s="3166"/>
      <c r="M25" s="3166"/>
      <c r="N25" s="3166"/>
      <c r="O25" s="3166"/>
      <c r="P25" s="3166"/>
      <c r="Q25" s="3166"/>
      <c r="R25" s="3166"/>
    </row>
    <row r="26" spans="1:18" ht="18" customHeight="1" x14ac:dyDescent="0.4">
      <c r="B26" s="2846" t="s">
        <v>1408</v>
      </c>
      <c r="C26" s="2846"/>
      <c r="D26" s="2846"/>
      <c r="E26" s="2846"/>
      <c r="F26" s="2846"/>
      <c r="G26" s="2846"/>
      <c r="H26" s="2846"/>
      <c r="I26" s="2846"/>
      <c r="J26" s="2846"/>
      <c r="K26" s="2846"/>
      <c r="L26" s="2846"/>
      <c r="M26" s="2846"/>
      <c r="N26" s="2846"/>
    </row>
    <row r="27" spans="1:18" x14ac:dyDescent="0.4">
      <c r="A27" s="1118" t="s">
        <v>1409</v>
      </c>
      <c r="B27" s="140" t="s">
        <v>1410</v>
      </c>
    </row>
    <row r="28" spans="1:18" x14ac:dyDescent="0.4">
      <c r="A28" s="1119" t="s">
        <v>1411</v>
      </c>
      <c r="B28" s="2846" t="s">
        <v>1412</v>
      </c>
      <c r="C28" s="2846"/>
      <c r="D28" s="2846"/>
      <c r="E28" s="2846"/>
      <c r="F28" s="2846"/>
      <c r="G28" s="2846"/>
      <c r="H28" s="2846"/>
      <c r="I28" s="2846"/>
      <c r="J28" s="2846"/>
      <c r="K28" s="2846"/>
      <c r="L28" s="2846"/>
      <c r="M28" s="2846"/>
      <c r="N28" s="2846"/>
      <c r="O28" s="2846"/>
      <c r="P28" s="2846"/>
      <c r="Q28" s="2846"/>
      <c r="R28" s="2846"/>
    </row>
  </sheetData>
  <mergeCells count="33">
    <mergeCell ref="A1:R1"/>
    <mergeCell ref="A2:B3"/>
    <mergeCell ref="C2:E2"/>
    <mergeCell ref="F2:G2"/>
    <mergeCell ref="H2:K2"/>
    <mergeCell ref="L2:M2"/>
    <mergeCell ref="N2:N3"/>
    <mergeCell ref="O2:Q2"/>
    <mergeCell ref="R2:R3"/>
    <mergeCell ref="A15:B15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B28:R28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B25:R25"/>
    <mergeCell ref="B26:N26"/>
  </mergeCells>
  <printOptions horizontalCentered="1" verticalCentered="1"/>
  <pageMargins left="0.59055118110236227" right="0.59055118110236227" top="0.59055118110236227" bottom="0.59055118110236227" header="0.35433070866141736" footer="0.27559055118110237"/>
  <pageSetup paperSize="9" scale="95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</sheetPr>
  <dimension ref="A1:AF179"/>
  <sheetViews>
    <sheetView showGridLines="0" rightToLeft="1" tabSelected="1" view="pageBreakPreview" zoomScale="124" zoomScaleNormal="100" zoomScaleSheetLayoutView="124" workbookViewId="0">
      <pane ySplit="3" topLeftCell="A157" activePane="bottomLeft" state="frozen"/>
      <selection activeCell="A3" sqref="A3"/>
      <selection pane="bottomLeft" activeCell="B166" sqref="B166"/>
    </sheetView>
  </sheetViews>
  <sheetFormatPr defaultColWidth="7" defaultRowHeight="15.75" x14ac:dyDescent="0.4"/>
  <cols>
    <col min="1" max="1" width="3.375" style="1386" customWidth="1"/>
    <col min="2" max="2" width="28" style="1386" customWidth="1"/>
    <col min="3" max="3" width="3" style="1386" bestFit="1" customWidth="1"/>
    <col min="4" max="4" width="3.625" style="1386" bestFit="1" customWidth="1"/>
    <col min="5" max="5" width="4.125" style="1386" bestFit="1" customWidth="1"/>
    <col min="6" max="6" width="3" style="1386" bestFit="1" customWidth="1"/>
    <col min="7" max="8" width="3.625" style="1386" bestFit="1" customWidth="1"/>
    <col min="9" max="9" width="4.875" style="1386" customWidth="1"/>
    <col min="10" max="10" width="3.625" style="1386" bestFit="1" customWidth="1"/>
    <col min="11" max="11" width="4.625" style="1386" bestFit="1" customWidth="1"/>
    <col min="12" max="12" width="5.25" style="1386" bestFit="1" customWidth="1"/>
    <col min="13" max="13" width="9.375" style="1386" bestFit="1" customWidth="1"/>
    <col min="14" max="14" width="4.625" style="1386" bestFit="1" customWidth="1"/>
    <col min="15" max="15" width="4.625" style="717" bestFit="1" customWidth="1"/>
    <col min="16" max="16" width="4.625" style="1386" bestFit="1" customWidth="1"/>
    <col min="17" max="17" width="4.625" style="717" bestFit="1" customWidth="1"/>
    <col min="18" max="18" width="4.25" style="1386" customWidth="1"/>
    <col min="19" max="19" width="3.625" style="1386" customWidth="1"/>
    <col min="20" max="20" width="9.875" style="1386" customWidth="1"/>
    <col min="21" max="21" width="3.875" style="1386" bestFit="1" customWidth="1"/>
    <col min="22" max="24" width="7" style="1386" customWidth="1"/>
    <col min="25" max="25" width="10.125" style="1386" bestFit="1" customWidth="1"/>
    <col min="26" max="29" width="7" style="1386" customWidth="1"/>
    <col min="30" max="30" width="11.75" style="1444" bestFit="1" customWidth="1"/>
    <col min="31" max="16384" width="7" style="1386"/>
  </cols>
  <sheetData>
    <row r="1" spans="2:30" ht="19.5" customHeight="1" thickBot="1" x14ac:dyDescent="0.45">
      <c r="B1" s="3263" t="s">
        <v>1937</v>
      </c>
      <c r="C1" s="3263"/>
      <c r="D1" s="3263"/>
      <c r="E1" s="3263"/>
      <c r="F1" s="3263"/>
      <c r="G1" s="3263"/>
      <c r="H1" s="3263"/>
      <c r="I1" s="3263"/>
      <c r="J1" s="3263"/>
      <c r="K1" s="3263"/>
      <c r="L1" s="3263"/>
      <c r="M1" s="3263"/>
      <c r="N1" s="3263"/>
      <c r="O1" s="3263"/>
      <c r="P1" s="3263"/>
      <c r="Q1" s="3263"/>
      <c r="R1" s="3263"/>
      <c r="S1" s="3263"/>
      <c r="T1" s="3263"/>
      <c r="U1" s="1443"/>
    </row>
    <row r="2" spans="2:30" ht="18" customHeight="1" thickBot="1" x14ac:dyDescent="0.45">
      <c r="B2" s="3246" t="s">
        <v>937</v>
      </c>
      <c r="C2" s="3248" t="s">
        <v>938</v>
      </c>
      <c r="D2" s="3246" t="s">
        <v>939</v>
      </c>
      <c r="E2" s="3250"/>
      <c r="F2" s="3250"/>
      <c r="G2" s="3250"/>
      <c r="H2" s="3250"/>
      <c r="I2" s="3250"/>
      <c r="J2" s="3250"/>
      <c r="K2" s="3251"/>
      <c r="L2" s="3276" t="s">
        <v>940</v>
      </c>
      <c r="M2" s="3254" t="s">
        <v>941</v>
      </c>
      <c r="N2" s="3254"/>
      <c r="O2" s="3254"/>
      <c r="P2" s="3254"/>
      <c r="Q2" s="3254"/>
      <c r="R2" s="3254"/>
      <c r="S2" s="3254"/>
      <c r="T2" s="3248" t="s">
        <v>170</v>
      </c>
      <c r="U2" s="3258"/>
    </row>
    <row r="3" spans="2:30" ht="65.25" thickBot="1" x14ac:dyDescent="0.45">
      <c r="B3" s="3247"/>
      <c r="C3" s="3292"/>
      <c r="D3" s="2332" t="s">
        <v>942</v>
      </c>
      <c r="E3" s="1493" t="s">
        <v>943</v>
      </c>
      <c r="F3" s="1493" t="s">
        <v>944</v>
      </c>
      <c r="G3" s="1493" t="s">
        <v>945</v>
      </c>
      <c r="H3" s="1493" t="s">
        <v>946</v>
      </c>
      <c r="I3" s="1494" t="s">
        <v>947</v>
      </c>
      <c r="J3" s="1493" t="s">
        <v>948</v>
      </c>
      <c r="K3" s="1495" t="s">
        <v>949</v>
      </c>
      <c r="L3" s="3277"/>
      <c r="M3" s="1496" t="s">
        <v>950</v>
      </c>
      <c r="N3" s="1496" t="s">
        <v>951</v>
      </c>
      <c r="O3" s="1496" t="s">
        <v>952</v>
      </c>
      <c r="P3" s="1496" t="s">
        <v>953</v>
      </c>
      <c r="Q3" s="1496" t="s">
        <v>954</v>
      </c>
      <c r="R3" s="1497" t="s">
        <v>955</v>
      </c>
      <c r="S3" s="1498" t="s">
        <v>956</v>
      </c>
      <c r="T3" s="3249"/>
      <c r="U3" s="3258"/>
      <c r="X3" s="2343"/>
      <c r="Y3" s="1493"/>
      <c r="Z3" s="1493"/>
      <c r="AA3" s="1493"/>
      <c r="AB3" s="1493"/>
      <c r="AC3" s="1494"/>
      <c r="AD3" s="1493"/>
    </row>
    <row r="4" spans="2:30" ht="12.75" customHeight="1" x14ac:dyDescent="0.4">
      <c r="B4" s="3236" t="s">
        <v>957</v>
      </c>
      <c r="C4" s="1543" t="s">
        <v>958</v>
      </c>
      <c r="D4" s="2373">
        <v>0</v>
      </c>
      <c r="E4" s="2374">
        <v>5</v>
      </c>
      <c r="F4" s="2375">
        <v>2</v>
      </c>
      <c r="G4" s="2374">
        <v>1</v>
      </c>
      <c r="H4" s="2375">
        <v>0</v>
      </c>
      <c r="I4" s="2374">
        <v>10</v>
      </c>
      <c r="J4" s="2376">
        <v>1</v>
      </c>
      <c r="K4" s="2377">
        <v>19</v>
      </c>
      <c r="L4" s="1547" t="s">
        <v>947</v>
      </c>
      <c r="M4" s="1561">
        <v>3</v>
      </c>
      <c r="N4" s="1561">
        <v>5</v>
      </c>
      <c r="O4" s="1561">
        <v>2</v>
      </c>
      <c r="P4" s="729">
        <v>0</v>
      </c>
      <c r="Q4" s="729">
        <v>0</v>
      </c>
      <c r="R4" s="729">
        <v>0</v>
      </c>
      <c r="S4" s="729">
        <v>0</v>
      </c>
      <c r="T4" s="1552">
        <v>10</v>
      </c>
      <c r="U4" s="3266">
        <f>+K4+K5</f>
        <v>19</v>
      </c>
      <c r="V4" s="3259">
        <f>+K4+K5</f>
        <v>19</v>
      </c>
    </row>
    <row r="5" spans="2:30" ht="12.75" customHeight="1" x14ac:dyDescent="0.4">
      <c r="B5" s="3239"/>
      <c r="C5" s="2378" t="s">
        <v>959</v>
      </c>
      <c r="D5" s="2379">
        <v>0</v>
      </c>
      <c r="E5" s="2380">
        <v>0</v>
      </c>
      <c r="F5" s="2381">
        <v>0</v>
      </c>
      <c r="G5" s="2380">
        <v>0</v>
      </c>
      <c r="H5" s="2381">
        <v>0</v>
      </c>
      <c r="I5" s="2380">
        <v>0</v>
      </c>
      <c r="J5" s="2382">
        <v>0</v>
      </c>
      <c r="K5" s="2383"/>
      <c r="L5" s="1511" t="s">
        <v>960</v>
      </c>
      <c r="M5" s="722">
        <v>0</v>
      </c>
      <c r="N5" s="722">
        <v>4</v>
      </c>
      <c r="O5" s="722">
        <v>4</v>
      </c>
      <c r="P5" s="730">
        <v>1</v>
      </c>
      <c r="Q5" s="730">
        <v>0</v>
      </c>
      <c r="R5" s="730">
        <v>0</v>
      </c>
      <c r="S5" s="730">
        <v>0</v>
      </c>
      <c r="T5" s="723">
        <f t="shared" ref="T5:T12" si="0">SUM(M5:S5)</f>
        <v>9</v>
      </c>
      <c r="U5" s="3266"/>
      <c r="V5" s="3259"/>
    </row>
    <row r="6" spans="2:30" s="717" customFormat="1" ht="12.75" customHeight="1" x14ac:dyDescent="0.4">
      <c r="B6" s="3237" t="s">
        <v>961</v>
      </c>
      <c r="C6" s="2384" t="s">
        <v>958</v>
      </c>
      <c r="D6" s="1512">
        <v>0</v>
      </c>
      <c r="E6" s="1513">
        <v>1</v>
      </c>
      <c r="F6" s="1514">
        <v>1</v>
      </c>
      <c r="G6" s="1515">
        <v>14</v>
      </c>
      <c r="H6" s="1515">
        <v>0</v>
      </c>
      <c r="I6" s="1515">
        <v>2</v>
      </c>
      <c r="J6" s="1516">
        <v>0</v>
      </c>
      <c r="K6" s="1517">
        <f t="shared" ref="K6:K27" si="1">SUM(D6:J6)</f>
        <v>18</v>
      </c>
      <c r="L6" s="1518" t="s">
        <v>947</v>
      </c>
      <c r="M6" s="719">
        <v>1</v>
      </c>
      <c r="N6" s="719">
        <v>1</v>
      </c>
      <c r="O6" s="719">
        <v>3</v>
      </c>
      <c r="P6" s="719">
        <v>0</v>
      </c>
      <c r="Q6" s="719">
        <v>0</v>
      </c>
      <c r="R6" s="719">
        <v>0</v>
      </c>
      <c r="S6" s="719">
        <v>0</v>
      </c>
      <c r="T6" s="1519">
        <f t="shared" si="0"/>
        <v>5</v>
      </c>
      <c r="U6" s="3291">
        <f>+K6+K7</f>
        <v>25</v>
      </c>
      <c r="V6" s="3259">
        <f t="shared" ref="V6" si="2">+K6+K7</f>
        <v>25</v>
      </c>
      <c r="AD6" s="718"/>
    </row>
    <row r="7" spans="2:30" s="717" customFormat="1" ht="12.75" customHeight="1" x14ac:dyDescent="0.4">
      <c r="B7" s="3239"/>
      <c r="C7" s="2378" t="s">
        <v>959</v>
      </c>
      <c r="D7" s="1511">
        <v>0</v>
      </c>
      <c r="E7" s="1520">
        <v>3</v>
      </c>
      <c r="F7" s="1521">
        <v>0</v>
      </c>
      <c r="G7" s="1521">
        <v>1</v>
      </c>
      <c r="H7" s="1521">
        <v>0</v>
      </c>
      <c r="I7" s="1521">
        <v>3</v>
      </c>
      <c r="J7" s="1522">
        <v>0</v>
      </c>
      <c r="K7" s="1523">
        <f t="shared" si="1"/>
        <v>7</v>
      </c>
      <c r="L7" s="726" t="s">
        <v>960</v>
      </c>
      <c r="M7" s="720">
        <v>4</v>
      </c>
      <c r="N7" s="720">
        <v>10</v>
      </c>
      <c r="O7" s="720">
        <v>8</v>
      </c>
      <c r="P7" s="720">
        <v>1</v>
      </c>
      <c r="Q7" s="720">
        <v>0</v>
      </c>
      <c r="R7" s="720">
        <v>0</v>
      </c>
      <c r="S7" s="720">
        <v>0</v>
      </c>
      <c r="T7" s="1524">
        <f t="shared" si="0"/>
        <v>23</v>
      </c>
      <c r="U7" s="3291"/>
      <c r="V7" s="3259"/>
      <c r="AD7" s="718"/>
    </row>
    <row r="8" spans="2:30" ht="12.75" customHeight="1" x14ac:dyDescent="0.4">
      <c r="B8" s="3238" t="s">
        <v>962</v>
      </c>
      <c r="C8" s="2385" t="s">
        <v>958</v>
      </c>
      <c r="D8" s="2386">
        <v>1</v>
      </c>
      <c r="E8" s="2387">
        <v>6</v>
      </c>
      <c r="F8" s="2388">
        <v>0</v>
      </c>
      <c r="G8" s="2388">
        <v>0</v>
      </c>
      <c r="H8" s="2388">
        <v>1</v>
      </c>
      <c r="I8" s="2387">
        <v>8</v>
      </c>
      <c r="J8" s="2389">
        <v>0</v>
      </c>
      <c r="K8" s="1517">
        <f t="shared" si="1"/>
        <v>16</v>
      </c>
      <c r="L8" s="1518" t="s">
        <v>947</v>
      </c>
      <c r="M8" s="719">
        <v>0</v>
      </c>
      <c r="N8" s="719">
        <v>3</v>
      </c>
      <c r="O8" s="719">
        <v>5</v>
      </c>
      <c r="P8" s="719">
        <v>1</v>
      </c>
      <c r="Q8" s="719">
        <v>0</v>
      </c>
      <c r="R8" s="719">
        <v>0</v>
      </c>
      <c r="S8" s="719">
        <v>0</v>
      </c>
      <c r="T8" s="1519">
        <f t="shared" si="0"/>
        <v>9</v>
      </c>
      <c r="U8" s="3266">
        <f>+K8+K9</f>
        <v>21</v>
      </c>
      <c r="V8" s="3259">
        <f t="shared" ref="V8" si="3">+K8+K9</f>
        <v>21</v>
      </c>
    </row>
    <row r="9" spans="2:30" ht="12.75" customHeight="1" x14ac:dyDescent="0.4">
      <c r="B9" s="3239"/>
      <c r="C9" s="2378" t="s">
        <v>959</v>
      </c>
      <c r="D9" s="2390">
        <v>0</v>
      </c>
      <c r="E9" s="2391">
        <v>4</v>
      </c>
      <c r="F9" s="2392">
        <v>0</v>
      </c>
      <c r="G9" s="2392">
        <v>0</v>
      </c>
      <c r="H9" s="2392">
        <v>0</v>
      </c>
      <c r="I9" s="2391">
        <v>1</v>
      </c>
      <c r="J9" s="2393">
        <v>0</v>
      </c>
      <c r="K9" s="1523">
        <f t="shared" si="1"/>
        <v>5</v>
      </c>
      <c r="L9" s="726" t="s">
        <v>960</v>
      </c>
      <c r="M9" s="720">
        <v>0</v>
      </c>
      <c r="N9" s="720">
        <v>7</v>
      </c>
      <c r="O9" s="720">
        <v>5</v>
      </c>
      <c r="P9" s="720">
        <v>0</v>
      </c>
      <c r="Q9" s="720">
        <v>0</v>
      </c>
      <c r="R9" s="720">
        <v>0</v>
      </c>
      <c r="S9" s="720">
        <v>0</v>
      </c>
      <c r="T9" s="1524">
        <f t="shared" si="0"/>
        <v>12</v>
      </c>
      <c r="U9" s="3266"/>
      <c r="V9" s="3259"/>
    </row>
    <row r="10" spans="2:30" ht="12.75" customHeight="1" x14ac:dyDescent="0.4">
      <c r="B10" s="3238" t="s">
        <v>963</v>
      </c>
      <c r="C10" s="2385" t="s">
        <v>958</v>
      </c>
      <c r="D10" s="2394">
        <v>0</v>
      </c>
      <c r="E10" s="2395">
        <v>0</v>
      </c>
      <c r="F10" s="2396">
        <v>0</v>
      </c>
      <c r="G10" s="2396">
        <v>0</v>
      </c>
      <c r="H10" s="2396">
        <v>0</v>
      </c>
      <c r="I10" s="2395">
        <v>4</v>
      </c>
      <c r="J10" s="2397">
        <v>0</v>
      </c>
      <c r="K10" s="1525">
        <f t="shared" si="1"/>
        <v>4</v>
      </c>
      <c r="L10" s="1518" t="s">
        <v>947</v>
      </c>
      <c r="M10" s="719">
        <v>0</v>
      </c>
      <c r="N10" s="719">
        <v>0</v>
      </c>
      <c r="O10" s="719">
        <v>1</v>
      </c>
      <c r="P10" s="719">
        <v>1</v>
      </c>
      <c r="Q10" s="719">
        <v>2</v>
      </c>
      <c r="R10" s="719">
        <v>0</v>
      </c>
      <c r="S10" s="719">
        <v>0</v>
      </c>
      <c r="T10" s="1519">
        <f t="shared" si="0"/>
        <v>4</v>
      </c>
      <c r="U10" s="3266">
        <f>+K10+K11</f>
        <v>4</v>
      </c>
      <c r="V10" s="3259">
        <f t="shared" ref="V10" si="4">+K10+K11</f>
        <v>4</v>
      </c>
    </row>
    <row r="11" spans="2:30" ht="12.75" customHeight="1" x14ac:dyDescent="0.4">
      <c r="B11" s="3239"/>
      <c r="C11" s="2378" t="s">
        <v>959</v>
      </c>
      <c r="D11" s="2398">
        <v>0</v>
      </c>
      <c r="E11" s="2399">
        <v>0</v>
      </c>
      <c r="F11" s="2400">
        <v>0</v>
      </c>
      <c r="G11" s="2400">
        <v>0</v>
      </c>
      <c r="H11" s="2400">
        <v>0</v>
      </c>
      <c r="I11" s="2399">
        <v>0</v>
      </c>
      <c r="J11" s="2401">
        <v>0</v>
      </c>
      <c r="K11" s="1523">
        <f t="shared" si="1"/>
        <v>0</v>
      </c>
      <c r="L11" s="726" t="s">
        <v>960</v>
      </c>
      <c r="M11" s="720">
        <v>0</v>
      </c>
      <c r="N11" s="720">
        <v>0</v>
      </c>
      <c r="O11" s="720">
        <v>0</v>
      </c>
      <c r="P11" s="720">
        <v>0</v>
      </c>
      <c r="Q11" s="720">
        <v>0</v>
      </c>
      <c r="R11" s="720">
        <v>0</v>
      </c>
      <c r="S11" s="720">
        <v>0</v>
      </c>
      <c r="T11" s="1524">
        <f t="shared" si="0"/>
        <v>0</v>
      </c>
      <c r="U11" s="3266"/>
      <c r="V11" s="3259"/>
    </row>
    <row r="12" spans="2:30" ht="12.75" customHeight="1" x14ac:dyDescent="0.4">
      <c r="B12" s="3237" t="s">
        <v>964</v>
      </c>
      <c r="C12" s="2384" t="s">
        <v>958</v>
      </c>
      <c r="D12" s="2402">
        <v>2</v>
      </c>
      <c r="E12" s="2403">
        <v>3</v>
      </c>
      <c r="F12" s="2404">
        <v>0</v>
      </c>
      <c r="G12" s="2404">
        <v>1</v>
      </c>
      <c r="H12" s="2404">
        <v>1</v>
      </c>
      <c r="I12" s="2403">
        <v>6</v>
      </c>
      <c r="J12" s="2405">
        <v>0</v>
      </c>
      <c r="K12" s="1517">
        <f t="shared" si="1"/>
        <v>13</v>
      </c>
      <c r="L12" s="1452" t="s">
        <v>947</v>
      </c>
      <c r="M12" s="730">
        <v>0</v>
      </c>
      <c r="N12" s="730">
        <v>5</v>
      </c>
      <c r="O12" s="730">
        <v>3</v>
      </c>
      <c r="P12" s="730">
        <v>0</v>
      </c>
      <c r="Q12" s="730">
        <v>0</v>
      </c>
      <c r="R12" s="730">
        <v>0</v>
      </c>
      <c r="S12" s="730">
        <v>0</v>
      </c>
      <c r="T12" s="723">
        <f t="shared" si="0"/>
        <v>8</v>
      </c>
      <c r="U12" s="3266">
        <f>+K12+K13</f>
        <v>32</v>
      </c>
      <c r="V12" s="3259">
        <f t="shared" ref="V12" si="5">+K12+K13</f>
        <v>32</v>
      </c>
    </row>
    <row r="13" spans="2:30" ht="12.75" customHeight="1" x14ac:dyDescent="0.4">
      <c r="B13" s="3237"/>
      <c r="C13" s="2384" t="s">
        <v>959</v>
      </c>
      <c r="D13" s="2406">
        <v>1</v>
      </c>
      <c r="E13" s="2407">
        <v>13</v>
      </c>
      <c r="F13" s="2408">
        <v>0</v>
      </c>
      <c r="G13" s="2408">
        <v>3</v>
      </c>
      <c r="H13" s="2408">
        <v>0</v>
      </c>
      <c r="I13" s="2407">
        <v>2</v>
      </c>
      <c r="J13" s="2409">
        <v>0</v>
      </c>
      <c r="K13" s="1517">
        <f t="shared" si="1"/>
        <v>19</v>
      </c>
      <c r="L13" s="1452" t="s">
        <v>960</v>
      </c>
      <c r="M13" s="730">
        <v>0</v>
      </c>
      <c r="N13" s="730">
        <v>6</v>
      </c>
      <c r="O13" s="730">
        <v>16</v>
      </c>
      <c r="P13" s="730">
        <v>1</v>
      </c>
      <c r="Q13" s="730">
        <v>0</v>
      </c>
      <c r="R13" s="730">
        <v>0</v>
      </c>
      <c r="S13" s="730">
        <v>1</v>
      </c>
      <c r="T13" s="723">
        <f>SUM(N13:S13)</f>
        <v>24</v>
      </c>
      <c r="U13" s="3266"/>
      <c r="V13" s="3259"/>
    </row>
    <row r="14" spans="2:30" ht="12.75" customHeight="1" x14ac:dyDescent="0.4">
      <c r="B14" s="3238" t="s">
        <v>965</v>
      </c>
      <c r="C14" s="2385" t="s">
        <v>958</v>
      </c>
      <c r="D14" s="2410">
        <v>1</v>
      </c>
      <c r="E14" s="2411">
        <v>0</v>
      </c>
      <c r="F14" s="2412">
        <v>0</v>
      </c>
      <c r="G14" s="2412">
        <v>2</v>
      </c>
      <c r="H14" s="2412">
        <v>5</v>
      </c>
      <c r="I14" s="2411">
        <v>7</v>
      </c>
      <c r="J14" s="2413">
        <v>0</v>
      </c>
      <c r="K14" s="1525">
        <f t="shared" si="1"/>
        <v>15</v>
      </c>
      <c r="L14" s="1518" t="s">
        <v>947</v>
      </c>
      <c r="M14" s="719">
        <v>0</v>
      </c>
      <c r="N14" s="719">
        <v>3</v>
      </c>
      <c r="O14" s="719">
        <v>4</v>
      </c>
      <c r="P14" s="719">
        <v>0</v>
      </c>
      <c r="Q14" s="719">
        <v>0</v>
      </c>
      <c r="R14" s="719">
        <v>0</v>
      </c>
      <c r="S14" s="719">
        <v>0</v>
      </c>
      <c r="T14" s="1519">
        <f t="shared" ref="T14:T27" si="6">SUM(M14:S14)</f>
        <v>7</v>
      </c>
      <c r="U14" s="3266">
        <f>+K14+K15</f>
        <v>16</v>
      </c>
      <c r="V14" s="3259">
        <f t="shared" ref="V14" si="7">+K14+K15</f>
        <v>16</v>
      </c>
    </row>
    <row r="15" spans="2:30" ht="12.75" customHeight="1" x14ac:dyDescent="0.4">
      <c r="B15" s="3239"/>
      <c r="C15" s="2378" t="s">
        <v>959</v>
      </c>
      <c r="D15" s="2414">
        <v>0</v>
      </c>
      <c r="E15" s="2415">
        <v>0</v>
      </c>
      <c r="F15" s="2416">
        <v>0</v>
      </c>
      <c r="G15" s="2416">
        <v>0</v>
      </c>
      <c r="H15" s="2416">
        <v>1</v>
      </c>
      <c r="I15" s="2415">
        <v>0</v>
      </c>
      <c r="J15" s="2417">
        <v>0</v>
      </c>
      <c r="K15" s="1523">
        <f t="shared" si="1"/>
        <v>1</v>
      </c>
      <c r="L15" s="726" t="s">
        <v>960</v>
      </c>
      <c r="M15" s="720">
        <v>0</v>
      </c>
      <c r="N15" s="720">
        <v>3</v>
      </c>
      <c r="O15" s="720">
        <v>6</v>
      </c>
      <c r="P15" s="720">
        <v>0</v>
      </c>
      <c r="Q15" s="720">
        <v>0</v>
      </c>
      <c r="R15" s="720">
        <v>0</v>
      </c>
      <c r="S15" s="720">
        <v>0</v>
      </c>
      <c r="T15" s="1524">
        <f t="shared" si="6"/>
        <v>9</v>
      </c>
      <c r="U15" s="3266"/>
      <c r="V15" s="3259"/>
    </row>
    <row r="16" spans="2:30" ht="12.75" customHeight="1" x14ac:dyDescent="0.4">
      <c r="B16" s="3237" t="s">
        <v>966</v>
      </c>
      <c r="C16" s="2384" t="s">
        <v>958</v>
      </c>
      <c r="D16" s="2418">
        <v>1</v>
      </c>
      <c r="E16" s="2419">
        <v>4</v>
      </c>
      <c r="F16" s="2420">
        <v>0</v>
      </c>
      <c r="G16" s="2420">
        <v>1</v>
      </c>
      <c r="H16" s="2420">
        <v>0</v>
      </c>
      <c r="I16" s="2419">
        <v>1</v>
      </c>
      <c r="J16" s="2421">
        <v>0</v>
      </c>
      <c r="K16" s="1517">
        <f t="shared" si="1"/>
        <v>7</v>
      </c>
      <c r="L16" s="1452" t="s">
        <v>947</v>
      </c>
      <c r="M16" s="730">
        <v>0</v>
      </c>
      <c r="N16" s="730">
        <v>1</v>
      </c>
      <c r="O16" s="730">
        <v>1</v>
      </c>
      <c r="P16" s="730">
        <v>0</v>
      </c>
      <c r="Q16" s="730">
        <v>0</v>
      </c>
      <c r="R16" s="730">
        <v>0</v>
      </c>
      <c r="S16" s="730">
        <v>0</v>
      </c>
      <c r="T16" s="723">
        <f t="shared" si="6"/>
        <v>2</v>
      </c>
      <c r="U16" s="3266">
        <f>+K16+K17</f>
        <v>9</v>
      </c>
      <c r="V16" s="3259">
        <f t="shared" ref="V16" si="8">+K16+K17</f>
        <v>9</v>
      </c>
    </row>
    <row r="17" spans="2:24" ht="12.75" customHeight="1" x14ac:dyDescent="0.4">
      <c r="B17" s="3237"/>
      <c r="C17" s="2384" t="s">
        <v>959</v>
      </c>
      <c r="D17" s="2422">
        <v>0</v>
      </c>
      <c r="E17" s="2423">
        <v>1</v>
      </c>
      <c r="F17" s="2424">
        <v>0</v>
      </c>
      <c r="G17" s="2424">
        <v>0</v>
      </c>
      <c r="H17" s="2424">
        <v>0</v>
      </c>
      <c r="I17" s="2423">
        <v>1</v>
      </c>
      <c r="J17" s="2425">
        <v>0</v>
      </c>
      <c r="K17" s="1523">
        <f t="shared" si="1"/>
        <v>2</v>
      </c>
      <c r="L17" s="1452" t="s">
        <v>960</v>
      </c>
      <c r="M17" s="730">
        <v>0</v>
      </c>
      <c r="N17" s="730">
        <v>4</v>
      </c>
      <c r="O17" s="730">
        <v>3</v>
      </c>
      <c r="P17" s="730">
        <v>0</v>
      </c>
      <c r="Q17" s="730">
        <v>0</v>
      </c>
      <c r="R17" s="730">
        <v>0</v>
      </c>
      <c r="S17" s="730">
        <v>0</v>
      </c>
      <c r="T17" s="723">
        <f t="shared" si="6"/>
        <v>7</v>
      </c>
      <c r="U17" s="3266"/>
      <c r="V17" s="3259"/>
    </row>
    <row r="18" spans="2:24" ht="12.75" customHeight="1" x14ac:dyDescent="0.4">
      <c r="B18" s="3238" t="s">
        <v>967</v>
      </c>
      <c r="C18" s="2385" t="s">
        <v>958</v>
      </c>
      <c r="D18" s="2426">
        <v>5</v>
      </c>
      <c r="E18" s="2427">
        <v>6</v>
      </c>
      <c r="F18" s="2428">
        <v>2</v>
      </c>
      <c r="G18" s="2428">
        <v>6</v>
      </c>
      <c r="H18" s="2428">
        <v>1</v>
      </c>
      <c r="I18" s="2427">
        <v>6</v>
      </c>
      <c r="J18" s="2429">
        <v>0</v>
      </c>
      <c r="K18" s="1525">
        <f t="shared" si="1"/>
        <v>26</v>
      </c>
      <c r="L18" s="1518" t="s">
        <v>947</v>
      </c>
      <c r="M18" s="719">
        <v>0</v>
      </c>
      <c r="N18" s="719">
        <v>2</v>
      </c>
      <c r="O18" s="719">
        <v>5</v>
      </c>
      <c r="P18" s="719">
        <v>0</v>
      </c>
      <c r="Q18" s="719">
        <v>0</v>
      </c>
      <c r="R18" s="719">
        <v>0</v>
      </c>
      <c r="S18" s="719">
        <v>0</v>
      </c>
      <c r="T18" s="1519">
        <f t="shared" si="6"/>
        <v>7</v>
      </c>
      <c r="U18" s="3266">
        <f>+K18+K19</f>
        <v>34</v>
      </c>
      <c r="V18" s="3259">
        <f t="shared" ref="V18" si="9">+K18+K19</f>
        <v>34</v>
      </c>
    </row>
    <row r="19" spans="2:24" ht="12.75" customHeight="1" x14ac:dyDescent="0.4">
      <c r="B19" s="3239"/>
      <c r="C19" s="2378" t="s">
        <v>959</v>
      </c>
      <c r="D19" s="2430">
        <v>1</v>
      </c>
      <c r="E19" s="2431">
        <v>6</v>
      </c>
      <c r="F19" s="2432">
        <v>0</v>
      </c>
      <c r="G19" s="2432">
        <v>0</v>
      </c>
      <c r="H19" s="2432">
        <v>0</v>
      </c>
      <c r="I19" s="2431">
        <v>1</v>
      </c>
      <c r="J19" s="2433">
        <v>0</v>
      </c>
      <c r="K19" s="1523">
        <f t="shared" si="1"/>
        <v>8</v>
      </c>
      <c r="L19" s="726" t="s">
        <v>960</v>
      </c>
      <c r="M19" s="720">
        <v>0</v>
      </c>
      <c r="N19" s="720">
        <v>13</v>
      </c>
      <c r="O19" s="720">
        <v>13</v>
      </c>
      <c r="P19" s="720">
        <v>1</v>
      </c>
      <c r="Q19" s="720">
        <v>0</v>
      </c>
      <c r="R19" s="720">
        <v>0</v>
      </c>
      <c r="S19" s="720">
        <v>0</v>
      </c>
      <c r="T19" s="1524">
        <f t="shared" si="6"/>
        <v>27</v>
      </c>
      <c r="U19" s="3266"/>
      <c r="V19" s="3259"/>
    </row>
    <row r="20" spans="2:24" ht="12.75" hidden="1" customHeight="1" x14ac:dyDescent="0.4">
      <c r="B20" s="3282" t="s">
        <v>968</v>
      </c>
      <c r="C20" s="2385" t="s">
        <v>958</v>
      </c>
      <c r="D20" s="1526"/>
      <c r="E20" s="1527"/>
      <c r="F20" s="1528"/>
      <c r="G20" s="1528"/>
      <c r="H20" s="1528"/>
      <c r="I20" s="1528"/>
      <c r="J20" s="1529"/>
      <c r="K20" s="1525">
        <f t="shared" si="1"/>
        <v>0</v>
      </c>
      <c r="L20" s="1518" t="s">
        <v>947</v>
      </c>
      <c r="M20" s="719"/>
      <c r="N20" s="719"/>
      <c r="O20" s="719"/>
      <c r="P20" s="719"/>
      <c r="Q20" s="719"/>
      <c r="R20" s="719"/>
      <c r="S20" s="719"/>
      <c r="T20" s="1519">
        <f t="shared" si="6"/>
        <v>0</v>
      </c>
      <c r="U20" s="3290">
        <f>+K20+K21</f>
        <v>0</v>
      </c>
      <c r="V20" s="3259">
        <f t="shared" ref="V20" si="10">+K20+K21</f>
        <v>0</v>
      </c>
    </row>
    <row r="21" spans="2:24" ht="12.75" hidden="1" customHeight="1" x14ac:dyDescent="0.4">
      <c r="B21" s="3283"/>
      <c r="C21" s="2384" t="s">
        <v>959</v>
      </c>
      <c r="D21" s="1511"/>
      <c r="E21" s="1520"/>
      <c r="F21" s="1521"/>
      <c r="G21" s="1521"/>
      <c r="H21" s="1521"/>
      <c r="I21" s="1521"/>
      <c r="J21" s="1522"/>
      <c r="K21" s="1523">
        <f t="shared" si="1"/>
        <v>0</v>
      </c>
      <c r="L21" s="726" t="s">
        <v>960</v>
      </c>
      <c r="M21" s="720"/>
      <c r="N21" s="720"/>
      <c r="O21" s="720"/>
      <c r="P21" s="720"/>
      <c r="Q21" s="720"/>
      <c r="R21" s="720"/>
      <c r="S21" s="720"/>
      <c r="T21" s="1524">
        <f t="shared" si="6"/>
        <v>0</v>
      </c>
      <c r="U21" s="3290"/>
      <c r="V21" s="3259"/>
    </row>
    <row r="22" spans="2:24" ht="12.75" customHeight="1" x14ac:dyDescent="0.4">
      <c r="B22" s="3286" t="s">
        <v>969</v>
      </c>
      <c r="C22" s="2385" t="s">
        <v>958</v>
      </c>
      <c r="D22" s="2434">
        <v>3</v>
      </c>
      <c r="E22" s="2435">
        <v>3</v>
      </c>
      <c r="F22" s="2436">
        <v>0</v>
      </c>
      <c r="G22" s="2436">
        <v>3</v>
      </c>
      <c r="H22" s="2436">
        <v>0</v>
      </c>
      <c r="I22" s="2435">
        <v>2</v>
      </c>
      <c r="J22" s="2437">
        <v>0</v>
      </c>
      <c r="K22" s="1525">
        <f t="shared" si="1"/>
        <v>11</v>
      </c>
      <c r="L22" s="1518" t="s">
        <v>947</v>
      </c>
      <c r="M22" s="719">
        <v>0</v>
      </c>
      <c r="N22" s="719">
        <v>1</v>
      </c>
      <c r="O22" s="719">
        <v>1</v>
      </c>
      <c r="P22" s="719">
        <v>0</v>
      </c>
      <c r="Q22" s="719">
        <v>0</v>
      </c>
      <c r="R22" s="719">
        <v>0</v>
      </c>
      <c r="S22" s="719">
        <v>0</v>
      </c>
      <c r="T22" s="1519">
        <f t="shared" si="6"/>
        <v>2</v>
      </c>
      <c r="U22" s="3266">
        <f>+K22+K23</f>
        <v>22</v>
      </c>
      <c r="V22" s="3259">
        <f t="shared" ref="V22" si="11">+K22+K23</f>
        <v>22</v>
      </c>
    </row>
    <row r="23" spans="2:24" ht="12.75" customHeight="1" x14ac:dyDescent="0.4">
      <c r="B23" s="3289"/>
      <c r="C23" s="2378" t="s">
        <v>959</v>
      </c>
      <c r="D23" s="2438">
        <v>2</v>
      </c>
      <c r="E23" s="2439">
        <v>5</v>
      </c>
      <c r="F23" s="2440">
        <v>0</v>
      </c>
      <c r="G23" s="2440">
        <v>4</v>
      </c>
      <c r="H23" s="2440">
        <v>0</v>
      </c>
      <c r="I23" s="2439">
        <v>0</v>
      </c>
      <c r="J23" s="2441">
        <v>0</v>
      </c>
      <c r="K23" s="1523">
        <f t="shared" si="1"/>
        <v>11</v>
      </c>
      <c r="L23" s="726" t="s">
        <v>960</v>
      </c>
      <c r="M23" s="720">
        <v>2</v>
      </c>
      <c r="N23" s="720">
        <v>10</v>
      </c>
      <c r="O23" s="720">
        <v>8</v>
      </c>
      <c r="P23" s="720">
        <v>0</v>
      </c>
      <c r="Q23" s="720">
        <v>0</v>
      </c>
      <c r="R23" s="720">
        <v>0</v>
      </c>
      <c r="S23" s="720">
        <v>0</v>
      </c>
      <c r="T23" s="1524">
        <f t="shared" si="6"/>
        <v>20</v>
      </c>
      <c r="U23" s="3266"/>
      <c r="V23" s="3259"/>
    </row>
    <row r="24" spans="2:24" ht="12.75" customHeight="1" x14ac:dyDescent="0.4">
      <c r="B24" s="3237" t="s">
        <v>970</v>
      </c>
      <c r="C24" s="2384" t="s">
        <v>958</v>
      </c>
      <c r="D24" s="2442">
        <v>1</v>
      </c>
      <c r="E24" s="2443">
        <v>0</v>
      </c>
      <c r="F24" s="2444">
        <v>0</v>
      </c>
      <c r="G24" s="2444">
        <v>2</v>
      </c>
      <c r="H24" s="2444">
        <v>0</v>
      </c>
      <c r="I24" s="2443">
        <v>2</v>
      </c>
      <c r="J24" s="2445">
        <v>0</v>
      </c>
      <c r="K24" s="1517">
        <f t="shared" si="1"/>
        <v>5</v>
      </c>
      <c r="L24" s="1452" t="s">
        <v>947</v>
      </c>
      <c r="M24" s="1515">
        <v>2</v>
      </c>
      <c r="N24" s="1515">
        <v>3</v>
      </c>
      <c r="O24" s="1515">
        <v>0</v>
      </c>
      <c r="P24" s="1515">
        <v>0</v>
      </c>
      <c r="Q24" s="1514">
        <v>0</v>
      </c>
      <c r="R24" s="1530">
        <v>0</v>
      </c>
      <c r="S24" s="730">
        <v>0</v>
      </c>
      <c r="T24" s="723">
        <f t="shared" si="6"/>
        <v>5</v>
      </c>
      <c r="U24" s="3266">
        <f>+K24+K25</f>
        <v>10</v>
      </c>
      <c r="V24" s="3259">
        <f t="shared" ref="V24" si="12">+K24+K25</f>
        <v>10</v>
      </c>
    </row>
    <row r="25" spans="2:24" ht="12.75" customHeight="1" x14ac:dyDescent="0.4">
      <c r="B25" s="3239"/>
      <c r="C25" s="2384" t="s">
        <v>959</v>
      </c>
      <c r="D25" s="2446">
        <v>0</v>
      </c>
      <c r="E25" s="2447">
        <v>2</v>
      </c>
      <c r="F25" s="2448">
        <v>0</v>
      </c>
      <c r="G25" s="2448">
        <v>0</v>
      </c>
      <c r="H25" s="2448">
        <v>0</v>
      </c>
      <c r="I25" s="2447">
        <v>3</v>
      </c>
      <c r="J25" s="2449">
        <v>0</v>
      </c>
      <c r="K25" s="1523">
        <f t="shared" si="1"/>
        <v>5</v>
      </c>
      <c r="L25" s="726" t="s">
        <v>960</v>
      </c>
      <c r="M25" s="1521">
        <v>0</v>
      </c>
      <c r="N25" s="1521">
        <v>4</v>
      </c>
      <c r="O25" s="1521">
        <v>1</v>
      </c>
      <c r="P25" s="1521">
        <v>0</v>
      </c>
      <c r="Q25" s="1531">
        <v>0</v>
      </c>
      <c r="R25" s="1532">
        <v>0</v>
      </c>
      <c r="S25" s="720">
        <v>0</v>
      </c>
      <c r="T25" s="1524">
        <f t="shared" si="6"/>
        <v>5</v>
      </c>
      <c r="U25" s="3266"/>
      <c r="V25" s="3259"/>
    </row>
    <row r="26" spans="2:24" ht="12.75" customHeight="1" x14ac:dyDescent="0.4">
      <c r="B26" s="3238" t="s">
        <v>971</v>
      </c>
      <c r="C26" s="2385" t="s">
        <v>958</v>
      </c>
      <c r="D26" s="2450">
        <v>1</v>
      </c>
      <c r="E26" s="2451">
        <v>1</v>
      </c>
      <c r="F26" s="2452">
        <v>0</v>
      </c>
      <c r="G26" s="2452">
        <v>2</v>
      </c>
      <c r="H26" s="2452">
        <v>0</v>
      </c>
      <c r="I26" s="2451">
        <v>5</v>
      </c>
      <c r="J26" s="2453">
        <v>0</v>
      </c>
      <c r="K26" s="1525">
        <f t="shared" si="1"/>
        <v>9</v>
      </c>
      <c r="L26" s="1518" t="s">
        <v>947</v>
      </c>
      <c r="M26" s="719">
        <v>1</v>
      </c>
      <c r="N26" s="719">
        <v>0</v>
      </c>
      <c r="O26" s="719">
        <v>4</v>
      </c>
      <c r="P26" s="719">
        <v>0</v>
      </c>
      <c r="Q26" s="719">
        <v>0</v>
      </c>
      <c r="R26" s="719">
        <v>0</v>
      </c>
      <c r="S26" s="719">
        <v>1</v>
      </c>
      <c r="T26" s="1519">
        <f t="shared" si="6"/>
        <v>6</v>
      </c>
      <c r="U26" s="3266">
        <f>+K26+K27</f>
        <v>13</v>
      </c>
      <c r="V26" s="3259">
        <f t="shared" ref="V26" si="13">+K26+K27</f>
        <v>13</v>
      </c>
    </row>
    <row r="27" spans="2:24" ht="12.75" customHeight="1" thickBot="1" x14ac:dyDescent="0.45">
      <c r="B27" s="3239"/>
      <c r="C27" s="2378" t="s">
        <v>959</v>
      </c>
      <c r="D27" s="2454">
        <v>1</v>
      </c>
      <c r="E27" s="2455">
        <v>1</v>
      </c>
      <c r="F27" s="2456">
        <v>0</v>
      </c>
      <c r="G27" s="2456">
        <v>1</v>
      </c>
      <c r="H27" s="2456">
        <v>0</v>
      </c>
      <c r="I27" s="2455">
        <v>1</v>
      </c>
      <c r="J27" s="2457">
        <v>0</v>
      </c>
      <c r="K27" s="1523">
        <f t="shared" si="1"/>
        <v>4</v>
      </c>
      <c r="L27" s="726" t="s">
        <v>960</v>
      </c>
      <c r="M27" s="720">
        <v>0</v>
      </c>
      <c r="N27" s="720">
        <v>5</v>
      </c>
      <c r="O27" s="720">
        <v>2</v>
      </c>
      <c r="P27" s="720">
        <v>0</v>
      </c>
      <c r="Q27" s="720">
        <v>0</v>
      </c>
      <c r="R27" s="720">
        <v>0</v>
      </c>
      <c r="S27" s="720">
        <v>0</v>
      </c>
      <c r="T27" s="1524">
        <f t="shared" si="6"/>
        <v>7</v>
      </c>
      <c r="U27" s="3266"/>
      <c r="V27" s="3259"/>
    </row>
    <row r="28" spans="2:24" ht="12.75" customHeight="1" x14ac:dyDescent="0.4">
      <c r="B28" s="3282" t="s">
        <v>972</v>
      </c>
      <c r="C28" s="2385" t="s">
        <v>958</v>
      </c>
      <c r="D28" s="2458">
        <v>3</v>
      </c>
      <c r="E28" s="2459">
        <v>2</v>
      </c>
      <c r="F28" s="2460">
        <v>0</v>
      </c>
      <c r="G28" s="2460">
        <v>1</v>
      </c>
      <c r="H28" s="2460">
        <v>1</v>
      </c>
      <c r="I28" s="2459">
        <v>2</v>
      </c>
      <c r="J28" s="2461">
        <v>0</v>
      </c>
      <c r="K28" s="1525">
        <f>SUM(D28:J28)</f>
        <v>9</v>
      </c>
      <c r="L28" s="1518" t="s">
        <v>947</v>
      </c>
      <c r="M28" s="719">
        <v>0</v>
      </c>
      <c r="N28" s="719">
        <v>2</v>
      </c>
      <c r="O28" s="719">
        <v>0</v>
      </c>
      <c r="P28" s="719">
        <v>0</v>
      </c>
      <c r="Q28" s="719">
        <v>0</v>
      </c>
      <c r="R28" s="719">
        <v>0</v>
      </c>
      <c r="S28" s="719">
        <v>0</v>
      </c>
      <c r="T28" s="1519">
        <f>SUM(M28:S28)</f>
        <v>2</v>
      </c>
      <c r="U28" s="1449"/>
      <c r="V28" s="1450"/>
      <c r="X28" s="1451" t="s">
        <v>973</v>
      </c>
    </row>
    <row r="29" spans="2:24" ht="12.75" customHeight="1" thickBot="1" x14ac:dyDescent="0.45">
      <c r="B29" s="3288"/>
      <c r="C29" s="2462" t="s">
        <v>959</v>
      </c>
      <c r="D29" s="2463">
        <v>3</v>
      </c>
      <c r="E29" s="2464">
        <v>2</v>
      </c>
      <c r="F29" s="2465">
        <v>0</v>
      </c>
      <c r="G29" s="2465">
        <v>3</v>
      </c>
      <c r="H29" s="2465">
        <v>1</v>
      </c>
      <c r="I29" s="2464">
        <v>0</v>
      </c>
      <c r="J29" s="2466">
        <v>0</v>
      </c>
      <c r="K29" s="1533">
        <f>SUM(D29:J29)</f>
        <v>9</v>
      </c>
      <c r="L29" s="738" t="s">
        <v>960</v>
      </c>
      <c r="M29" s="1534">
        <v>0</v>
      </c>
      <c r="N29" s="1534">
        <v>11</v>
      </c>
      <c r="O29" s="1534">
        <v>5</v>
      </c>
      <c r="P29" s="1534">
        <v>0</v>
      </c>
      <c r="Q29" s="1534">
        <v>0</v>
      </c>
      <c r="R29" s="1534">
        <v>0</v>
      </c>
      <c r="S29" s="1534">
        <v>0</v>
      </c>
      <c r="T29" s="1535">
        <f>SUM(M29:S29)</f>
        <v>16</v>
      </c>
      <c r="U29" s="3266">
        <f>+K28+K29</f>
        <v>18</v>
      </c>
      <c r="V29" s="3259">
        <f>+K28+K29</f>
        <v>18</v>
      </c>
    </row>
    <row r="30" spans="2:24" ht="12.75" customHeight="1" x14ac:dyDescent="0.4">
      <c r="B30" s="1505" t="s">
        <v>974</v>
      </c>
      <c r="C30" s="2467"/>
      <c r="D30" s="2468"/>
      <c r="E30" s="2468"/>
      <c r="F30" s="2469"/>
      <c r="G30" s="2469"/>
      <c r="H30" s="2469"/>
      <c r="I30" s="2468"/>
      <c r="J30" s="2469"/>
      <c r="K30" s="721"/>
      <c r="L30" s="1452"/>
      <c r="M30" s="722"/>
      <c r="N30" s="722"/>
      <c r="O30" s="722"/>
      <c r="P30" s="722"/>
      <c r="Q30" s="722"/>
      <c r="R30" s="722"/>
      <c r="S30" s="722"/>
      <c r="T30" s="723"/>
      <c r="U30" s="3266"/>
      <c r="V30" s="3259"/>
    </row>
    <row r="31" spans="2:24" ht="12.75" customHeight="1" x14ac:dyDescent="0.4">
      <c r="B31" s="3287" t="s">
        <v>975</v>
      </c>
      <c r="C31" s="2467" t="s">
        <v>958</v>
      </c>
      <c r="D31" s="2468">
        <v>0</v>
      </c>
      <c r="E31" s="2468">
        <v>2</v>
      </c>
      <c r="F31" s="2469">
        <v>0</v>
      </c>
      <c r="G31" s="2469">
        <v>2</v>
      </c>
      <c r="H31" s="2469">
        <v>0</v>
      </c>
      <c r="I31" s="2468">
        <v>0</v>
      </c>
      <c r="J31" s="2469">
        <v>0</v>
      </c>
      <c r="K31" s="721">
        <f t="shared" ref="K31:K36" si="14">SUM(D31:J31)</f>
        <v>4</v>
      </c>
      <c r="L31" s="1452" t="s">
        <v>947</v>
      </c>
      <c r="M31" s="722">
        <v>0</v>
      </c>
      <c r="N31" s="722">
        <v>3</v>
      </c>
      <c r="O31" s="722">
        <v>1</v>
      </c>
      <c r="P31" s="722">
        <v>0</v>
      </c>
      <c r="Q31" s="722">
        <v>0</v>
      </c>
      <c r="R31" s="722">
        <v>0</v>
      </c>
      <c r="S31" s="722">
        <v>0</v>
      </c>
      <c r="T31" s="723">
        <f t="shared" ref="T31:T36" si="15">SUM(M31:S31)</f>
        <v>4</v>
      </c>
      <c r="U31" s="3266">
        <f>+K31+K32</f>
        <v>10</v>
      </c>
      <c r="V31" s="3259">
        <f>+K31+K32</f>
        <v>10</v>
      </c>
      <c r="X31" s="724"/>
    </row>
    <row r="32" spans="2:24" ht="12.75" customHeight="1" x14ac:dyDescent="0.4">
      <c r="B32" s="3289"/>
      <c r="C32" s="2467" t="s">
        <v>959</v>
      </c>
      <c r="D32" s="2470">
        <v>1</v>
      </c>
      <c r="E32" s="2470">
        <v>1</v>
      </c>
      <c r="F32" s="2471">
        <v>0</v>
      </c>
      <c r="G32" s="2471">
        <v>0</v>
      </c>
      <c r="H32" s="2471">
        <v>0</v>
      </c>
      <c r="I32" s="2470">
        <v>4</v>
      </c>
      <c r="J32" s="2471">
        <v>0</v>
      </c>
      <c r="K32" s="725">
        <f t="shared" si="14"/>
        <v>6</v>
      </c>
      <c r="L32" s="1452" t="s">
        <v>960</v>
      </c>
      <c r="M32" s="722">
        <v>0</v>
      </c>
      <c r="N32" s="722">
        <v>4</v>
      </c>
      <c r="O32" s="722">
        <v>2</v>
      </c>
      <c r="P32" s="722">
        <v>0</v>
      </c>
      <c r="Q32" s="722">
        <v>0</v>
      </c>
      <c r="R32" s="722">
        <v>0</v>
      </c>
      <c r="S32" s="722">
        <v>0</v>
      </c>
      <c r="T32" s="723">
        <f t="shared" si="15"/>
        <v>6</v>
      </c>
      <c r="U32" s="3266"/>
      <c r="V32" s="3259"/>
    </row>
    <row r="33" spans="2:22" ht="12.75" customHeight="1" x14ac:dyDescent="0.4">
      <c r="B33" s="3238" t="s">
        <v>976</v>
      </c>
      <c r="C33" s="2472" t="s">
        <v>958</v>
      </c>
      <c r="D33" s="2473">
        <v>2</v>
      </c>
      <c r="E33" s="2473">
        <v>4</v>
      </c>
      <c r="F33" s="2474">
        <v>0</v>
      </c>
      <c r="G33" s="2474">
        <v>4</v>
      </c>
      <c r="H33" s="2474">
        <v>0</v>
      </c>
      <c r="I33" s="2473">
        <v>4</v>
      </c>
      <c r="J33" s="2474">
        <v>0</v>
      </c>
      <c r="K33" s="1536">
        <f t="shared" si="14"/>
        <v>14</v>
      </c>
      <c r="L33" s="1518" t="s">
        <v>947</v>
      </c>
      <c r="M33" s="719">
        <v>1</v>
      </c>
      <c r="N33" s="719">
        <v>6</v>
      </c>
      <c r="O33" s="719">
        <v>2</v>
      </c>
      <c r="P33" s="719">
        <v>0</v>
      </c>
      <c r="Q33" s="719">
        <v>0</v>
      </c>
      <c r="R33" s="719">
        <v>0</v>
      </c>
      <c r="S33" s="719"/>
      <c r="T33" s="1519">
        <f t="shared" si="15"/>
        <v>9</v>
      </c>
      <c r="U33" s="3266">
        <f>+K33+K34</f>
        <v>41</v>
      </c>
      <c r="V33" s="3259">
        <f>+K33+K34</f>
        <v>41</v>
      </c>
    </row>
    <row r="34" spans="2:22" ht="12.75" customHeight="1" x14ac:dyDescent="0.4">
      <c r="B34" s="3239"/>
      <c r="C34" s="2475" t="s">
        <v>959</v>
      </c>
      <c r="D34" s="2476">
        <v>3</v>
      </c>
      <c r="E34" s="2476">
        <v>16</v>
      </c>
      <c r="F34" s="2477">
        <v>0</v>
      </c>
      <c r="G34" s="2477">
        <v>2</v>
      </c>
      <c r="H34" s="2477">
        <v>1</v>
      </c>
      <c r="I34" s="2476">
        <v>5</v>
      </c>
      <c r="J34" s="2477">
        <v>0</v>
      </c>
      <c r="K34" s="725">
        <f t="shared" si="14"/>
        <v>27</v>
      </c>
      <c r="L34" s="726" t="s">
        <v>960</v>
      </c>
      <c r="M34" s="720">
        <v>1</v>
      </c>
      <c r="N34" s="720">
        <v>19</v>
      </c>
      <c r="O34" s="720">
        <v>12</v>
      </c>
      <c r="P34" s="720">
        <v>0</v>
      </c>
      <c r="Q34" s="720">
        <v>0</v>
      </c>
      <c r="R34" s="720">
        <v>0</v>
      </c>
      <c r="S34" s="720">
        <v>0</v>
      </c>
      <c r="T34" s="1524">
        <f t="shared" si="15"/>
        <v>32</v>
      </c>
      <c r="U34" s="3266"/>
      <c r="V34" s="3259"/>
    </row>
    <row r="35" spans="2:22" ht="12.75" customHeight="1" x14ac:dyDescent="0.4">
      <c r="B35" s="3286" t="s">
        <v>977</v>
      </c>
      <c r="C35" s="2467" t="s">
        <v>958</v>
      </c>
      <c r="D35" s="2478">
        <v>1</v>
      </c>
      <c r="E35" s="2478">
        <v>4</v>
      </c>
      <c r="F35" s="2479">
        <v>0</v>
      </c>
      <c r="G35" s="2479">
        <v>6</v>
      </c>
      <c r="H35" s="2479">
        <v>3</v>
      </c>
      <c r="I35" s="2478">
        <v>12</v>
      </c>
      <c r="J35" s="2479">
        <v>0</v>
      </c>
      <c r="K35" s="721">
        <f t="shared" si="14"/>
        <v>26</v>
      </c>
      <c r="L35" s="1452" t="s">
        <v>947</v>
      </c>
      <c r="M35" s="722">
        <v>1</v>
      </c>
      <c r="N35" s="722">
        <v>6</v>
      </c>
      <c r="O35" s="722">
        <v>6</v>
      </c>
      <c r="P35" s="722">
        <v>1</v>
      </c>
      <c r="Q35" s="722">
        <v>0</v>
      </c>
      <c r="R35" s="722">
        <v>0</v>
      </c>
      <c r="S35" s="722">
        <v>0</v>
      </c>
      <c r="T35" s="723">
        <f t="shared" si="15"/>
        <v>14</v>
      </c>
      <c r="U35" s="3266">
        <f>+K35+K36</f>
        <v>37</v>
      </c>
      <c r="V35" s="3259">
        <f>+K36+K35</f>
        <v>37</v>
      </c>
    </row>
    <row r="36" spans="2:22" ht="12.75" customHeight="1" x14ac:dyDescent="0.4">
      <c r="B36" s="3287"/>
      <c r="C36" s="2467" t="s">
        <v>959</v>
      </c>
      <c r="D36" s="2480">
        <v>0</v>
      </c>
      <c r="E36" s="2480">
        <v>2</v>
      </c>
      <c r="F36" s="2481">
        <v>0</v>
      </c>
      <c r="G36" s="2481">
        <v>6</v>
      </c>
      <c r="H36" s="2481">
        <v>1</v>
      </c>
      <c r="I36" s="2480">
        <v>2</v>
      </c>
      <c r="J36" s="2481">
        <v>0</v>
      </c>
      <c r="K36" s="721">
        <f t="shared" si="14"/>
        <v>11</v>
      </c>
      <c r="L36" s="1452" t="s">
        <v>960</v>
      </c>
      <c r="M36" s="722">
        <v>1</v>
      </c>
      <c r="N36" s="722">
        <v>5</v>
      </c>
      <c r="O36" s="722">
        <v>14</v>
      </c>
      <c r="P36" s="722">
        <v>2</v>
      </c>
      <c r="Q36" s="722">
        <v>1</v>
      </c>
      <c r="R36" s="722">
        <v>0</v>
      </c>
      <c r="S36" s="722">
        <v>0</v>
      </c>
      <c r="T36" s="723">
        <f t="shared" si="15"/>
        <v>23</v>
      </c>
      <c r="U36" s="3266"/>
      <c r="V36" s="3259"/>
    </row>
    <row r="37" spans="2:22" ht="12.75" customHeight="1" x14ac:dyDescent="0.4">
      <c r="B37" s="1506" t="s">
        <v>978</v>
      </c>
      <c r="C37" s="2475"/>
      <c r="D37" s="2482"/>
      <c r="E37" s="2482"/>
      <c r="F37" s="2483"/>
      <c r="G37" s="2483"/>
      <c r="H37" s="2483"/>
      <c r="I37" s="2482"/>
      <c r="J37" s="2483"/>
      <c r="K37" s="725"/>
      <c r="L37" s="726"/>
      <c r="M37" s="720"/>
      <c r="N37" s="720"/>
      <c r="O37" s="720"/>
      <c r="P37" s="720"/>
      <c r="Q37" s="720"/>
      <c r="R37" s="720"/>
      <c r="S37" s="720"/>
      <c r="T37" s="720"/>
      <c r="U37" s="1448"/>
      <c r="V37" s="2330"/>
    </row>
    <row r="38" spans="2:22" ht="12.75" customHeight="1" x14ac:dyDescent="0.4">
      <c r="B38" s="3237" t="s">
        <v>979</v>
      </c>
      <c r="C38" s="2467" t="s">
        <v>958</v>
      </c>
      <c r="D38" s="2484">
        <v>0</v>
      </c>
      <c r="E38" s="2484">
        <v>8</v>
      </c>
      <c r="F38" s="2485">
        <v>0</v>
      </c>
      <c r="G38" s="2485">
        <v>2</v>
      </c>
      <c r="H38" s="2485">
        <v>0</v>
      </c>
      <c r="I38" s="2484">
        <v>2</v>
      </c>
      <c r="J38" s="2485">
        <v>0</v>
      </c>
      <c r="K38" s="721">
        <f t="shared" ref="K38:K47" si="16">SUM(D38:J38)</f>
        <v>12</v>
      </c>
      <c r="L38" s="1452" t="s">
        <v>947</v>
      </c>
      <c r="M38" s="730">
        <v>0</v>
      </c>
      <c r="N38" s="730">
        <v>1</v>
      </c>
      <c r="O38" s="730">
        <v>2</v>
      </c>
      <c r="P38" s="730">
        <v>0</v>
      </c>
      <c r="Q38" s="730">
        <v>0</v>
      </c>
      <c r="R38" s="730">
        <v>0</v>
      </c>
      <c r="S38" s="730">
        <v>0</v>
      </c>
      <c r="T38" s="723">
        <f t="shared" ref="T38:T47" si="17">SUM(M38:S38)</f>
        <v>3</v>
      </c>
      <c r="U38" s="3278">
        <f>+K38+K39</f>
        <v>17</v>
      </c>
      <c r="V38" s="3259">
        <f>+K38+K39</f>
        <v>17</v>
      </c>
    </row>
    <row r="39" spans="2:22" ht="12.75" customHeight="1" x14ac:dyDescent="0.4">
      <c r="B39" s="3237"/>
      <c r="C39" s="2467" t="s">
        <v>959</v>
      </c>
      <c r="D39" s="2486">
        <v>1</v>
      </c>
      <c r="E39" s="2486">
        <v>3</v>
      </c>
      <c r="F39" s="2487">
        <v>0</v>
      </c>
      <c r="G39" s="2487">
        <v>0</v>
      </c>
      <c r="H39" s="2487">
        <v>0</v>
      </c>
      <c r="I39" s="2486">
        <v>1</v>
      </c>
      <c r="J39" s="2487">
        <v>0</v>
      </c>
      <c r="K39" s="721">
        <f t="shared" si="16"/>
        <v>5</v>
      </c>
      <c r="L39" s="1452" t="s">
        <v>960</v>
      </c>
      <c r="M39" s="730">
        <v>0</v>
      </c>
      <c r="N39" s="730">
        <v>12</v>
      </c>
      <c r="O39" s="730">
        <v>1</v>
      </c>
      <c r="P39" s="730">
        <v>0</v>
      </c>
      <c r="Q39" s="730">
        <v>1</v>
      </c>
      <c r="R39" s="730">
        <v>0</v>
      </c>
      <c r="S39" s="730">
        <v>0</v>
      </c>
      <c r="T39" s="723">
        <f t="shared" si="17"/>
        <v>14</v>
      </c>
      <c r="U39" s="3278"/>
      <c r="V39" s="3259"/>
    </row>
    <row r="40" spans="2:22" ht="12.75" customHeight="1" x14ac:dyDescent="0.4">
      <c r="B40" s="3238" t="s">
        <v>980</v>
      </c>
      <c r="C40" s="2472" t="s">
        <v>958</v>
      </c>
      <c r="D40" s="2488">
        <v>2</v>
      </c>
      <c r="E40" s="2488">
        <v>23</v>
      </c>
      <c r="F40" s="2489">
        <v>2</v>
      </c>
      <c r="G40" s="2489">
        <v>35</v>
      </c>
      <c r="H40" s="2489">
        <v>33</v>
      </c>
      <c r="I40" s="2488">
        <v>33</v>
      </c>
      <c r="J40" s="2489">
        <v>13</v>
      </c>
      <c r="K40" s="1536">
        <f t="shared" si="16"/>
        <v>141</v>
      </c>
      <c r="L40" s="1518" t="s">
        <v>947</v>
      </c>
      <c r="M40" s="719">
        <v>0</v>
      </c>
      <c r="N40" s="719">
        <v>15</v>
      </c>
      <c r="O40" s="719">
        <v>15</v>
      </c>
      <c r="P40" s="719">
        <v>4</v>
      </c>
      <c r="Q40" s="719">
        <v>4</v>
      </c>
      <c r="R40" s="719">
        <v>0</v>
      </c>
      <c r="S40" s="719">
        <v>0</v>
      </c>
      <c r="T40" s="1519">
        <f t="shared" si="17"/>
        <v>38</v>
      </c>
      <c r="U40" s="3278">
        <f>+K40+K41</f>
        <v>159</v>
      </c>
      <c r="V40" s="3259">
        <f t="shared" ref="V40" si="18">+K40+K41</f>
        <v>159</v>
      </c>
    </row>
    <row r="41" spans="2:22" ht="12.75" customHeight="1" x14ac:dyDescent="0.4">
      <c r="B41" s="3239"/>
      <c r="C41" s="2475" t="s">
        <v>959</v>
      </c>
      <c r="D41" s="2490">
        <v>1</v>
      </c>
      <c r="E41" s="2490">
        <v>10</v>
      </c>
      <c r="F41" s="2491">
        <v>0</v>
      </c>
      <c r="G41" s="2491">
        <v>0</v>
      </c>
      <c r="H41" s="2491">
        <v>1</v>
      </c>
      <c r="I41" s="2490">
        <v>5</v>
      </c>
      <c r="J41" s="2491">
        <v>1</v>
      </c>
      <c r="K41" s="725">
        <f t="shared" si="16"/>
        <v>18</v>
      </c>
      <c r="L41" s="726" t="s">
        <v>960</v>
      </c>
      <c r="M41" s="720">
        <v>2</v>
      </c>
      <c r="N41" s="720">
        <v>29</v>
      </c>
      <c r="O41" s="720">
        <v>50</v>
      </c>
      <c r="P41" s="720">
        <v>11</v>
      </c>
      <c r="Q41" s="720">
        <v>27</v>
      </c>
      <c r="R41" s="720">
        <v>1</v>
      </c>
      <c r="S41" s="720">
        <v>1</v>
      </c>
      <c r="T41" s="1524">
        <f t="shared" si="17"/>
        <v>121</v>
      </c>
      <c r="U41" s="3278"/>
      <c r="V41" s="3259"/>
    </row>
    <row r="42" spans="2:22" ht="12.75" customHeight="1" x14ac:dyDescent="0.4">
      <c r="B42" s="3238" t="s">
        <v>981</v>
      </c>
      <c r="C42" s="2472" t="s">
        <v>958</v>
      </c>
      <c r="D42" s="2492">
        <v>5</v>
      </c>
      <c r="E42" s="2492">
        <v>11</v>
      </c>
      <c r="F42" s="2493">
        <v>1</v>
      </c>
      <c r="G42" s="2493">
        <v>12</v>
      </c>
      <c r="H42" s="2493">
        <v>5</v>
      </c>
      <c r="I42" s="2492">
        <v>13</v>
      </c>
      <c r="J42" s="2493">
        <v>2</v>
      </c>
      <c r="K42" s="721">
        <f t="shared" si="16"/>
        <v>49</v>
      </c>
      <c r="L42" s="1518" t="s">
        <v>947</v>
      </c>
      <c r="M42" s="719">
        <v>0</v>
      </c>
      <c r="N42" s="719">
        <v>3</v>
      </c>
      <c r="O42" s="719">
        <v>6</v>
      </c>
      <c r="P42" s="719">
        <v>2</v>
      </c>
      <c r="Q42" s="719">
        <v>3</v>
      </c>
      <c r="R42" s="719">
        <v>0</v>
      </c>
      <c r="S42" s="719">
        <v>0</v>
      </c>
      <c r="T42" s="1519">
        <f t="shared" si="17"/>
        <v>14</v>
      </c>
      <c r="U42" s="3278">
        <f>+K42+K43</f>
        <v>68</v>
      </c>
      <c r="V42" s="3259">
        <f t="shared" ref="V42" si="19">+K42+K43</f>
        <v>68</v>
      </c>
    </row>
    <row r="43" spans="2:22" ht="12.75" customHeight="1" x14ac:dyDescent="0.4">
      <c r="B43" s="3239"/>
      <c r="C43" s="2475" t="s">
        <v>959</v>
      </c>
      <c r="D43" s="2494">
        <v>3</v>
      </c>
      <c r="E43" s="2494">
        <v>14</v>
      </c>
      <c r="F43" s="2495">
        <v>0</v>
      </c>
      <c r="G43" s="2495">
        <v>1</v>
      </c>
      <c r="H43" s="2495">
        <v>0</v>
      </c>
      <c r="I43" s="2494">
        <v>1</v>
      </c>
      <c r="J43" s="2495">
        <v>0</v>
      </c>
      <c r="K43" s="721">
        <f t="shared" si="16"/>
        <v>19</v>
      </c>
      <c r="L43" s="726" t="s">
        <v>960</v>
      </c>
      <c r="M43" s="720">
        <v>0</v>
      </c>
      <c r="N43" s="720">
        <v>27</v>
      </c>
      <c r="O43" s="720">
        <v>21</v>
      </c>
      <c r="P43" s="720">
        <v>1</v>
      </c>
      <c r="Q43" s="720">
        <v>3</v>
      </c>
      <c r="R43" s="720">
        <v>2</v>
      </c>
      <c r="S43" s="720">
        <v>0</v>
      </c>
      <c r="T43" s="1524">
        <f t="shared" si="17"/>
        <v>54</v>
      </c>
      <c r="U43" s="3278"/>
      <c r="V43" s="3259"/>
    </row>
    <row r="44" spans="2:22" ht="12.75" customHeight="1" x14ac:dyDescent="0.4">
      <c r="B44" s="3238" t="s">
        <v>982</v>
      </c>
      <c r="C44" s="2472" t="s">
        <v>958</v>
      </c>
      <c r="D44" s="2496">
        <v>0</v>
      </c>
      <c r="E44" s="2496">
        <v>2</v>
      </c>
      <c r="F44" s="2497">
        <v>0</v>
      </c>
      <c r="G44" s="2497">
        <v>1</v>
      </c>
      <c r="H44" s="2497">
        <v>0</v>
      </c>
      <c r="I44" s="2496">
        <v>0</v>
      </c>
      <c r="J44" s="2497">
        <v>0</v>
      </c>
      <c r="K44" s="1536">
        <f t="shared" si="16"/>
        <v>3</v>
      </c>
      <c r="L44" s="1518" t="s">
        <v>947</v>
      </c>
      <c r="M44" s="719">
        <v>0</v>
      </c>
      <c r="N44" s="719">
        <v>0</v>
      </c>
      <c r="O44" s="719">
        <v>0</v>
      </c>
      <c r="P44" s="719">
        <v>0</v>
      </c>
      <c r="Q44" s="719">
        <v>0</v>
      </c>
      <c r="R44" s="719">
        <v>0</v>
      </c>
      <c r="S44" s="719">
        <v>0</v>
      </c>
      <c r="T44" s="1519">
        <f t="shared" si="17"/>
        <v>0</v>
      </c>
      <c r="U44" s="2334"/>
      <c r="V44" s="2330"/>
    </row>
    <row r="45" spans="2:22" ht="12.75" customHeight="1" x14ac:dyDescent="0.4">
      <c r="B45" s="3239"/>
      <c r="C45" s="2475" t="s">
        <v>959</v>
      </c>
      <c r="D45" s="2498">
        <v>0</v>
      </c>
      <c r="E45" s="2498">
        <v>1</v>
      </c>
      <c r="F45" s="2499">
        <v>0</v>
      </c>
      <c r="G45" s="2499">
        <v>0</v>
      </c>
      <c r="H45" s="2499">
        <v>0</v>
      </c>
      <c r="I45" s="2498">
        <v>0</v>
      </c>
      <c r="J45" s="2499">
        <v>0</v>
      </c>
      <c r="K45" s="725">
        <f t="shared" si="16"/>
        <v>1</v>
      </c>
      <c r="L45" s="726" t="s">
        <v>960</v>
      </c>
      <c r="M45" s="720">
        <v>0</v>
      </c>
      <c r="N45" s="720">
        <v>2</v>
      </c>
      <c r="O45" s="720">
        <v>1</v>
      </c>
      <c r="P45" s="720">
        <v>1</v>
      </c>
      <c r="Q45" s="720">
        <v>0</v>
      </c>
      <c r="R45" s="720">
        <v>0</v>
      </c>
      <c r="S45" s="720">
        <v>0</v>
      </c>
      <c r="T45" s="1524">
        <f t="shared" si="17"/>
        <v>4</v>
      </c>
      <c r="U45" s="2334"/>
      <c r="V45" s="2330"/>
    </row>
    <row r="46" spans="2:22" ht="19.5" customHeight="1" x14ac:dyDescent="0.4">
      <c r="B46" s="3238" t="s">
        <v>983</v>
      </c>
      <c r="C46" s="2472" t="s">
        <v>958</v>
      </c>
      <c r="D46" s="2500">
        <v>0</v>
      </c>
      <c r="E46" s="2500">
        <v>0</v>
      </c>
      <c r="F46" s="2501">
        <v>0</v>
      </c>
      <c r="G46" s="2501">
        <v>0</v>
      </c>
      <c r="H46" s="2501">
        <v>0</v>
      </c>
      <c r="I46" s="2500">
        <v>0</v>
      </c>
      <c r="J46" s="2501">
        <v>0</v>
      </c>
      <c r="K46" s="1536">
        <f t="shared" si="16"/>
        <v>0</v>
      </c>
      <c r="L46" s="1518" t="s">
        <v>947</v>
      </c>
      <c r="M46" s="719">
        <v>0</v>
      </c>
      <c r="N46" s="719">
        <v>0</v>
      </c>
      <c r="O46" s="719">
        <v>0</v>
      </c>
      <c r="P46" s="719">
        <v>0</v>
      </c>
      <c r="Q46" s="719">
        <v>0</v>
      </c>
      <c r="R46" s="719">
        <v>0</v>
      </c>
      <c r="S46" s="719">
        <v>0</v>
      </c>
      <c r="T46" s="1519">
        <f t="shared" si="17"/>
        <v>0</v>
      </c>
      <c r="U46" s="3278">
        <f>+K46+K47</f>
        <v>2</v>
      </c>
      <c r="V46" s="3259">
        <f>+T46+T47</f>
        <v>2</v>
      </c>
    </row>
    <row r="47" spans="2:22" ht="12.75" customHeight="1" x14ac:dyDescent="0.4">
      <c r="B47" s="3239"/>
      <c r="C47" s="2475" t="s">
        <v>959</v>
      </c>
      <c r="D47" s="2502">
        <v>0</v>
      </c>
      <c r="E47" s="2502">
        <v>2</v>
      </c>
      <c r="F47" s="2503">
        <v>0</v>
      </c>
      <c r="G47" s="2503">
        <v>0</v>
      </c>
      <c r="H47" s="2503">
        <v>0</v>
      </c>
      <c r="I47" s="2502">
        <v>0</v>
      </c>
      <c r="J47" s="2503">
        <v>0</v>
      </c>
      <c r="K47" s="725">
        <f t="shared" si="16"/>
        <v>2</v>
      </c>
      <c r="L47" s="726" t="s">
        <v>960</v>
      </c>
      <c r="M47" s="720">
        <v>0</v>
      </c>
      <c r="N47" s="720">
        <v>2</v>
      </c>
      <c r="O47" s="720">
        <v>0</v>
      </c>
      <c r="P47" s="720">
        <v>0</v>
      </c>
      <c r="Q47" s="720">
        <v>0</v>
      </c>
      <c r="R47" s="720">
        <v>0</v>
      </c>
      <c r="S47" s="720">
        <v>0</v>
      </c>
      <c r="T47" s="1524">
        <f t="shared" si="17"/>
        <v>2</v>
      </c>
      <c r="U47" s="3278"/>
      <c r="V47" s="3259"/>
    </row>
    <row r="48" spans="2:22" ht="12.75" customHeight="1" thickBot="1" x14ac:dyDescent="0.45">
      <c r="B48" s="1507"/>
      <c r="C48" s="1537"/>
      <c r="D48" s="1537"/>
      <c r="E48" s="1538"/>
      <c r="F48" s="1538"/>
      <c r="G48" s="1538"/>
      <c r="H48" s="1538"/>
      <c r="I48" s="1538"/>
      <c r="J48" s="1538"/>
      <c r="K48" s="1538"/>
      <c r="L48" s="1539"/>
      <c r="M48" s="1452"/>
      <c r="N48" s="1454"/>
      <c r="O48" s="1454"/>
      <c r="P48" s="1454"/>
      <c r="Q48" s="1454"/>
      <c r="R48" s="1454"/>
      <c r="S48" s="1454"/>
      <c r="T48" s="1454"/>
      <c r="U48" s="2331"/>
      <c r="V48" s="1450"/>
    </row>
    <row r="49" spans="2:22" ht="12.75" customHeight="1" x14ac:dyDescent="0.4">
      <c r="B49" s="1508" t="s">
        <v>984</v>
      </c>
      <c r="C49" s="2504"/>
      <c r="D49" s="1540"/>
      <c r="E49" s="1541"/>
      <c r="F49" s="1542"/>
      <c r="G49" s="1542"/>
      <c r="H49" s="1542"/>
      <c r="I49" s="1542"/>
      <c r="J49" s="1543"/>
      <c r="K49" s="1544"/>
      <c r="L49" s="737"/>
      <c r="M49" s="728"/>
      <c r="N49" s="728"/>
      <c r="O49" s="728"/>
      <c r="P49" s="728"/>
      <c r="Q49" s="728"/>
      <c r="R49" s="728"/>
      <c r="S49" s="728"/>
      <c r="T49" s="1545"/>
      <c r="U49" s="1456"/>
      <c r="V49" s="1450"/>
    </row>
    <row r="50" spans="2:22" ht="12.75" customHeight="1" x14ac:dyDescent="0.4">
      <c r="B50" s="3237" t="s">
        <v>985</v>
      </c>
      <c r="C50" s="2467" t="s">
        <v>958</v>
      </c>
      <c r="D50" s="2505">
        <v>12</v>
      </c>
      <c r="E50" s="2505">
        <v>21</v>
      </c>
      <c r="F50" s="2506">
        <v>1</v>
      </c>
      <c r="G50" s="2506">
        <v>60</v>
      </c>
      <c r="H50" s="2506">
        <v>61</v>
      </c>
      <c r="I50" s="2505">
        <v>39</v>
      </c>
      <c r="J50" s="2506">
        <v>2</v>
      </c>
      <c r="K50" s="721">
        <f t="shared" ref="K50:K53" si="20">SUM(D50:J50)</f>
        <v>196</v>
      </c>
      <c r="L50" s="1452" t="s">
        <v>947</v>
      </c>
      <c r="M50" s="730">
        <v>0</v>
      </c>
      <c r="N50" s="730">
        <v>13</v>
      </c>
      <c r="O50" s="730">
        <v>24</v>
      </c>
      <c r="P50" s="730">
        <v>5</v>
      </c>
      <c r="Q50" s="730">
        <v>3</v>
      </c>
      <c r="R50" s="730">
        <v>0</v>
      </c>
      <c r="S50" s="730">
        <v>0</v>
      </c>
      <c r="T50" s="723">
        <f t="shared" ref="T50:T53" si="21">SUM(M50:S50)</f>
        <v>45</v>
      </c>
      <c r="U50" s="3278">
        <f>+K50+K51</f>
        <v>229</v>
      </c>
      <c r="V50" s="3259">
        <f>+K50+K51</f>
        <v>229</v>
      </c>
    </row>
    <row r="51" spans="2:22" ht="12.75" customHeight="1" x14ac:dyDescent="0.4">
      <c r="B51" s="3239"/>
      <c r="C51" s="2475" t="s">
        <v>959</v>
      </c>
      <c r="D51" s="2507">
        <v>3</v>
      </c>
      <c r="E51" s="2507">
        <v>16</v>
      </c>
      <c r="F51" s="2508">
        <v>0</v>
      </c>
      <c r="G51" s="2508">
        <v>6</v>
      </c>
      <c r="H51" s="2508">
        <v>1</v>
      </c>
      <c r="I51" s="2507">
        <v>6</v>
      </c>
      <c r="J51" s="2508">
        <v>1</v>
      </c>
      <c r="K51" s="725">
        <f t="shared" si="20"/>
        <v>33</v>
      </c>
      <c r="L51" s="726" t="s">
        <v>960</v>
      </c>
      <c r="M51" s="720">
        <v>1</v>
      </c>
      <c r="N51" s="720">
        <v>35</v>
      </c>
      <c r="O51" s="720">
        <v>104</v>
      </c>
      <c r="P51" s="720">
        <v>22</v>
      </c>
      <c r="Q51" s="720">
        <v>22</v>
      </c>
      <c r="R51" s="720">
        <v>0</v>
      </c>
      <c r="S51" s="720">
        <v>0</v>
      </c>
      <c r="T51" s="1524">
        <f t="shared" si="21"/>
        <v>184</v>
      </c>
      <c r="U51" s="3278"/>
      <c r="V51" s="3259"/>
    </row>
    <row r="52" spans="2:22" ht="12.75" customHeight="1" x14ac:dyDescent="0.4">
      <c r="B52" s="3238" t="s">
        <v>986</v>
      </c>
      <c r="C52" s="2472" t="s">
        <v>958</v>
      </c>
      <c r="D52" s="2509">
        <v>0</v>
      </c>
      <c r="E52" s="2509">
        <v>11</v>
      </c>
      <c r="F52" s="2510">
        <v>0</v>
      </c>
      <c r="G52" s="2510">
        <v>15</v>
      </c>
      <c r="H52" s="2510">
        <v>5</v>
      </c>
      <c r="I52" s="2509">
        <v>22</v>
      </c>
      <c r="J52" s="2510">
        <v>0</v>
      </c>
      <c r="K52" s="1536">
        <f t="shared" si="20"/>
        <v>53</v>
      </c>
      <c r="L52" s="1518" t="s">
        <v>947</v>
      </c>
      <c r="M52" s="719">
        <v>0</v>
      </c>
      <c r="N52" s="719">
        <v>2</v>
      </c>
      <c r="O52" s="719">
        <v>15</v>
      </c>
      <c r="P52" s="719">
        <v>5</v>
      </c>
      <c r="Q52" s="719">
        <v>1</v>
      </c>
      <c r="R52" s="719">
        <v>0</v>
      </c>
      <c r="S52" s="719">
        <v>0</v>
      </c>
      <c r="T52" s="1519">
        <f t="shared" si="21"/>
        <v>23</v>
      </c>
      <c r="U52" s="3278">
        <f>+K52+K53</f>
        <v>58</v>
      </c>
      <c r="V52" s="3259">
        <f t="shared" ref="V52" si="22">+K52+K53</f>
        <v>58</v>
      </c>
    </row>
    <row r="53" spans="2:22" ht="12.75" customHeight="1" x14ac:dyDescent="0.4">
      <c r="B53" s="3239"/>
      <c r="C53" s="2475" t="s">
        <v>959</v>
      </c>
      <c r="D53" s="2511">
        <v>0</v>
      </c>
      <c r="E53" s="2511">
        <v>2</v>
      </c>
      <c r="F53" s="2512">
        <v>0</v>
      </c>
      <c r="G53" s="2512">
        <v>2</v>
      </c>
      <c r="H53" s="2512">
        <v>0</v>
      </c>
      <c r="I53" s="2511">
        <v>1</v>
      </c>
      <c r="J53" s="2512">
        <v>0</v>
      </c>
      <c r="K53" s="725">
        <f t="shared" si="20"/>
        <v>5</v>
      </c>
      <c r="L53" s="726" t="s">
        <v>960</v>
      </c>
      <c r="M53" s="720">
        <v>1</v>
      </c>
      <c r="N53" s="720">
        <v>11</v>
      </c>
      <c r="O53" s="720">
        <v>22</v>
      </c>
      <c r="P53" s="720">
        <v>1</v>
      </c>
      <c r="Q53" s="720">
        <v>0</v>
      </c>
      <c r="R53" s="720">
        <v>0</v>
      </c>
      <c r="S53" s="720">
        <v>0</v>
      </c>
      <c r="T53" s="1524">
        <f t="shared" si="21"/>
        <v>35</v>
      </c>
      <c r="U53" s="3278"/>
      <c r="V53" s="3259"/>
    </row>
    <row r="54" spans="2:22" ht="12.75" hidden="1" customHeight="1" x14ac:dyDescent="0.4">
      <c r="B54" s="3238"/>
      <c r="C54" s="2472"/>
      <c r="D54" s="1526"/>
      <c r="E54" s="1527"/>
      <c r="F54" s="1528"/>
      <c r="G54" s="1528"/>
      <c r="H54" s="1528"/>
      <c r="I54" s="1528"/>
      <c r="J54" s="1546"/>
      <c r="K54" s="1536"/>
      <c r="L54" s="1518"/>
      <c r="M54" s="719"/>
      <c r="N54" s="719"/>
      <c r="O54" s="719"/>
      <c r="P54" s="719"/>
      <c r="Q54" s="719"/>
      <c r="R54" s="719"/>
      <c r="S54" s="719"/>
      <c r="T54" s="1519"/>
      <c r="U54" s="3278">
        <f>+K54+K55</f>
        <v>0</v>
      </c>
      <c r="V54" s="3259">
        <f t="shared" ref="V54" si="23">+K54+K55</f>
        <v>0</v>
      </c>
    </row>
    <row r="55" spans="2:22" ht="12.75" hidden="1" customHeight="1" x14ac:dyDescent="0.4">
      <c r="B55" s="3239"/>
      <c r="C55" s="2475"/>
      <c r="D55" s="1511"/>
      <c r="E55" s="1520"/>
      <c r="F55" s="1521"/>
      <c r="G55" s="1521"/>
      <c r="H55" s="1521"/>
      <c r="I55" s="1521"/>
      <c r="J55" s="1531"/>
      <c r="K55" s="725"/>
      <c r="L55" s="726"/>
      <c r="M55" s="720"/>
      <c r="N55" s="720"/>
      <c r="O55" s="720"/>
      <c r="P55" s="720"/>
      <c r="Q55" s="720"/>
      <c r="R55" s="720"/>
      <c r="S55" s="720"/>
      <c r="T55" s="1524"/>
      <c r="U55" s="3278"/>
      <c r="V55" s="3259"/>
    </row>
    <row r="56" spans="2:22" ht="12.75" customHeight="1" x14ac:dyDescent="0.4">
      <c r="B56" s="3238" t="s">
        <v>987</v>
      </c>
      <c r="C56" s="2467" t="s">
        <v>958</v>
      </c>
      <c r="D56" s="2513">
        <v>2</v>
      </c>
      <c r="E56" s="2513">
        <v>3</v>
      </c>
      <c r="F56" s="2514">
        <v>0</v>
      </c>
      <c r="G56" s="2514">
        <v>3</v>
      </c>
      <c r="H56" s="2514">
        <v>0</v>
      </c>
      <c r="I56" s="2513">
        <v>0</v>
      </c>
      <c r="J56" s="2514">
        <v>0</v>
      </c>
      <c r="K56" s="721">
        <f>SUM(D56:J56)</f>
        <v>8</v>
      </c>
      <c r="L56" s="1452" t="s">
        <v>947</v>
      </c>
      <c r="M56" s="730">
        <v>0</v>
      </c>
      <c r="N56" s="730">
        <v>0</v>
      </c>
      <c r="O56" s="730">
        <v>0</v>
      </c>
      <c r="P56" s="730">
        <v>0</v>
      </c>
      <c r="Q56" s="730">
        <v>0</v>
      </c>
      <c r="R56" s="730">
        <v>0</v>
      </c>
      <c r="S56" s="730">
        <v>0</v>
      </c>
      <c r="T56" s="723">
        <f>SUM(M56:S56)</f>
        <v>0</v>
      </c>
      <c r="U56" s="3278">
        <f>+K56+K57</f>
        <v>11</v>
      </c>
      <c r="V56" s="3259">
        <f t="shared" ref="V56" si="24">+K56+K57</f>
        <v>11</v>
      </c>
    </row>
    <row r="57" spans="2:22" ht="12.75" customHeight="1" thickBot="1" x14ac:dyDescent="0.45">
      <c r="B57" s="3237"/>
      <c r="C57" s="2467" t="s">
        <v>959</v>
      </c>
      <c r="D57" s="2515">
        <v>3</v>
      </c>
      <c r="E57" s="2515">
        <v>0</v>
      </c>
      <c r="F57" s="2516">
        <v>0</v>
      </c>
      <c r="G57" s="2516">
        <v>0</v>
      </c>
      <c r="H57" s="2516">
        <v>0</v>
      </c>
      <c r="I57" s="2515">
        <v>0</v>
      </c>
      <c r="J57" s="2516">
        <v>0</v>
      </c>
      <c r="K57" s="721">
        <f>SUM(D57:J57)</f>
        <v>3</v>
      </c>
      <c r="L57" s="1452" t="s">
        <v>960</v>
      </c>
      <c r="M57" s="730">
        <v>1</v>
      </c>
      <c r="N57" s="730">
        <v>7</v>
      </c>
      <c r="O57" s="730">
        <v>3</v>
      </c>
      <c r="P57" s="730">
        <v>0</v>
      </c>
      <c r="Q57" s="730">
        <v>0</v>
      </c>
      <c r="R57" s="730">
        <v>0</v>
      </c>
      <c r="S57" s="730">
        <v>0</v>
      </c>
      <c r="T57" s="723">
        <f>SUM(M57:S57)</f>
        <v>11</v>
      </c>
      <c r="U57" s="3278"/>
      <c r="V57" s="3259"/>
    </row>
    <row r="58" spans="2:22" ht="12.75" customHeight="1" x14ac:dyDescent="0.4">
      <c r="B58" s="1508" t="s">
        <v>988</v>
      </c>
      <c r="C58" s="2504"/>
      <c r="D58" s="1547"/>
      <c r="E58" s="1548"/>
      <c r="F58" s="1549"/>
      <c r="G58" s="1549"/>
      <c r="H58" s="1549"/>
      <c r="I58" s="1549"/>
      <c r="J58" s="1550"/>
      <c r="K58" s="1551"/>
      <c r="L58" s="737"/>
      <c r="M58" s="729"/>
      <c r="N58" s="729"/>
      <c r="O58" s="729"/>
      <c r="P58" s="729"/>
      <c r="Q58" s="729"/>
      <c r="R58" s="729"/>
      <c r="S58" s="729"/>
      <c r="T58" s="1552"/>
      <c r="U58" s="1456"/>
      <c r="V58" s="1450"/>
    </row>
    <row r="59" spans="2:22" ht="12.75" customHeight="1" x14ac:dyDescent="0.4">
      <c r="B59" s="3237" t="s">
        <v>989</v>
      </c>
      <c r="C59" s="2467" t="s">
        <v>958</v>
      </c>
      <c r="D59" s="2517">
        <v>0</v>
      </c>
      <c r="E59" s="2517">
        <v>1</v>
      </c>
      <c r="F59" s="2518">
        <v>0</v>
      </c>
      <c r="G59" s="2518">
        <v>0</v>
      </c>
      <c r="H59" s="2518">
        <v>0</v>
      </c>
      <c r="I59" s="2517">
        <v>0</v>
      </c>
      <c r="J59" s="2518">
        <v>0</v>
      </c>
      <c r="K59" s="721">
        <f t="shared" ref="K59:K66" si="25">SUM(D59:J59)</f>
        <v>1</v>
      </c>
      <c r="L59" s="1452" t="s">
        <v>947</v>
      </c>
      <c r="M59" s="730">
        <v>0</v>
      </c>
      <c r="N59" s="730">
        <v>0</v>
      </c>
      <c r="O59" s="730">
        <v>0</v>
      </c>
      <c r="P59" s="730">
        <v>0</v>
      </c>
      <c r="Q59" s="730">
        <v>0</v>
      </c>
      <c r="R59" s="730">
        <v>0</v>
      </c>
      <c r="S59" s="730">
        <v>0</v>
      </c>
      <c r="T59" s="723">
        <f t="shared" ref="T59:T68" si="26">SUM(M59:S59)</f>
        <v>0</v>
      </c>
      <c r="U59" s="1456">
        <f>+K59+K60</f>
        <v>3</v>
      </c>
      <c r="V59" s="1450">
        <f>+T59+T60</f>
        <v>3</v>
      </c>
    </row>
    <row r="60" spans="2:22" ht="12.75" customHeight="1" x14ac:dyDescent="0.4">
      <c r="B60" s="3239"/>
      <c r="C60" s="2475" t="s">
        <v>959</v>
      </c>
      <c r="D60" s="2519">
        <v>0</v>
      </c>
      <c r="E60" s="2519">
        <v>2</v>
      </c>
      <c r="F60" s="2520">
        <v>0</v>
      </c>
      <c r="G60" s="2520">
        <v>0</v>
      </c>
      <c r="H60" s="2520">
        <v>0</v>
      </c>
      <c r="I60" s="2519">
        <v>0</v>
      </c>
      <c r="J60" s="2520">
        <v>0</v>
      </c>
      <c r="K60" s="725">
        <f t="shared" si="25"/>
        <v>2</v>
      </c>
      <c r="L60" s="726" t="s">
        <v>960</v>
      </c>
      <c r="M60" s="720">
        <v>0</v>
      </c>
      <c r="N60" s="720">
        <v>3</v>
      </c>
      <c r="O60" s="720">
        <v>0</v>
      </c>
      <c r="P60" s="720">
        <v>0</v>
      </c>
      <c r="Q60" s="720">
        <v>0</v>
      </c>
      <c r="R60" s="720">
        <v>0</v>
      </c>
      <c r="S60" s="720">
        <v>0</v>
      </c>
      <c r="T60" s="1524">
        <f t="shared" si="26"/>
        <v>3</v>
      </c>
      <c r="U60" s="1456"/>
      <c r="V60" s="1450"/>
    </row>
    <row r="61" spans="2:22" ht="12.75" hidden="1" customHeight="1" x14ac:dyDescent="0.4">
      <c r="B61" s="3285" t="s">
        <v>990</v>
      </c>
      <c r="C61" s="2467" t="s">
        <v>958</v>
      </c>
      <c r="D61" s="2521"/>
      <c r="E61" s="2521"/>
      <c r="F61" s="2522"/>
      <c r="G61" s="2522"/>
      <c r="H61" s="2522"/>
      <c r="I61" s="2521"/>
      <c r="J61" s="2522"/>
      <c r="K61" s="721">
        <f t="shared" si="25"/>
        <v>0</v>
      </c>
      <c r="L61" s="1452" t="s">
        <v>947</v>
      </c>
      <c r="M61" s="730"/>
      <c r="N61" s="730"/>
      <c r="O61" s="730"/>
      <c r="P61" s="730"/>
      <c r="Q61" s="730"/>
      <c r="R61" s="730"/>
      <c r="S61" s="730"/>
      <c r="T61" s="723">
        <f t="shared" si="26"/>
        <v>0</v>
      </c>
      <c r="U61" s="3278">
        <f>+K61+K62</f>
        <v>0</v>
      </c>
      <c r="V61" s="3259">
        <f>+T61+T62</f>
        <v>0</v>
      </c>
    </row>
    <row r="62" spans="2:22" ht="12.75" hidden="1" customHeight="1" x14ac:dyDescent="0.4">
      <c r="B62" s="3285"/>
      <c r="C62" s="2467" t="s">
        <v>959</v>
      </c>
      <c r="D62" s="2523"/>
      <c r="E62" s="2523"/>
      <c r="F62" s="2524"/>
      <c r="G62" s="2524"/>
      <c r="H62" s="2524"/>
      <c r="I62" s="2523"/>
      <c r="J62" s="2524"/>
      <c r="K62" s="721">
        <f t="shared" si="25"/>
        <v>0</v>
      </c>
      <c r="L62" s="1452" t="s">
        <v>960</v>
      </c>
      <c r="M62" s="730"/>
      <c r="N62" s="730"/>
      <c r="O62" s="730"/>
      <c r="P62" s="730"/>
      <c r="Q62" s="730"/>
      <c r="R62" s="730"/>
      <c r="S62" s="730"/>
      <c r="T62" s="723">
        <f t="shared" si="26"/>
        <v>0</v>
      </c>
      <c r="U62" s="3278"/>
      <c r="V62" s="3259"/>
    </row>
    <row r="63" spans="2:22" ht="12.75" customHeight="1" x14ac:dyDescent="0.4">
      <c r="B63" s="3238" t="s">
        <v>991</v>
      </c>
      <c r="C63" s="2472" t="s">
        <v>958</v>
      </c>
      <c r="D63" s="2525">
        <v>2</v>
      </c>
      <c r="E63" s="2525">
        <v>6</v>
      </c>
      <c r="F63" s="2526">
        <v>0</v>
      </c>
      <c r="G63" s="2526">
        <v>3</v>
      </c>
      <c r="H63" s="2526">
        <v>1</v>
      </c>
      <c r="I63" s="2525">
        <v>21</v>
      </c>
      <c r="J63" s="2526">
        <v>7</v>
      </c>
      <c r="K63" s="1536">
        <f t="shared" si="25"/>
        <v>40</v>
      </c>
      <c r="L63" s="1518" t="s">
        <v>947</v>
      </c>
      <c r="M63" s="719">
        <v>0</v>
      </c>
      <c r="N63" s="719">
        <v>6</v>
      </c>
      <c r="O63" s="719">
        <v>12</v>
      </c>
      <c r="P63" s="719">
        <v>3</v>
      </c>
      <c r="Q63" s="719">
        <v>0</v>
      </c>
      <c r="R63" s="719">
        <v>0</v>
      </c>
      <c r="S63" s="719">
        <v>0</v>
      </c>
      <c r="T63" s="1519">
        <f t="shared" si="26"/>
        <v>21</v>
      </c>
      <c r="U63" s="3278">
        <f>+K63+K64</f>
        <v>45</v>
      </c>
      <c r="V63" s="3259">
        <f>+T63+T64</f>
        <v>45</v>
      </c>
    </row>
    <row r="64" spans="2:22" ht="12.75" customHeight="1" x14ac:dyDescent="0.4">
      <c r="B64" s="3239"/>
      <c r="C64" s="2475" t="s">
        <v>959</v>
      </c>
      <c r="D64" s="2527">
        <v>2</v>
      </c>
      <c r="E64" s="2527">
        <v>2</v>
      </c>
      <c r="F64" s="2528">
        <v>1</v>
      </c>
      <c r="G64" s="2528">
        <v>0</v>
      </c>
      <c r="H64" s="2528">
        <v>0</v>
      </c>
      <c r="I64" s="2527">
        <v>0</v>
      </c>
      <c r="J64" s="2528">
        <v>0</v>
      </c>
      <c r="K64" s="725">
        <f t="shared" si="25"/>
        <v>5</v>
      </c>
      <c r="L64" s="726" t="s">
        <v>960</v>
      </c>
      <c r="M64" s="720">
        <v>0</v>
      </c>
      <c r="N64" s="720">
        <v>9</v>
      </c>
      <c r="O64" s="720">
        <v>12</v>
      </c>
      <c r="P64" s="720">
        <v>3</v>
      </c>
      <c r="Q64" s="720">
        <v>0</v>
      </c>
      <c r="R64" s="720">
        <v>0</v>
      </c>
      <c r="S64" s="720">
        <v>0</v>
      </c>
      <c r="T64" s="1524">
        <f t="shared" si="26"/>
        <v>24</v>
      </c>
      <c r="U64" s="3278"/>
      <c r="V64" s="3259"/>
    </row>
    <row r="65" spans="1:30" ht="12.75" customHeight="1" x14ac:dyDescent="0.4">
      <c r="B65" s="3282" t="s">
        <v>992</v>
      </c>
      <c r="C65" s="2467" t="s">
        <v>958</v>
      </c>
      <c r="D65" s="2529">
        <v>1</v>
      </c>
      <c r="E65" s="2529">
        <v>1</v>
      </c>
      <c r="F65" s="2530">
        <v>0</v>
      </c>
      <c r="G65" s="2530">
        <v>4</v>
      </c>
      <c r="H65" s="2530">
        <v>0</v>
      </c>
      <c r="I65" s="2529">
        <v>2</v>
      </c>
      <c r="J65" s="2530">
        <v>0</v>
      </c>
      <c r="K65" s="1536">
        <f t="shared" si="25"/>
        <v>8</v>
      </c>
      <c r="L65" s="1452" t="s">
        <v>947</v>
      </c>
      <c r="M65" s="730">
        <v>0</v>
      </c>
      <c r="N65" s="730">
        <v>0</v>
      </c>
      <c r="O65" s="730">
        <v>2</v>
      </c>
      <c r="P65" s="730">
        <v>0</v>
      </c>
      <c r="Q65" s="730">
        <v>0</v>
      </c>
      <c r="R65" s="730">
        <v>0</v>
      </c>
      <c r="S65" s="730">
        <v>0</v>
      </c>
      <c r="T65" s="1519">
        <f t="shared" si="26"/>
        <v>2</v>
      </c>
      <c r="U65" s="3278">
        <f>+K65+K66</f>
        <v>18</v>
      </c>
      <c r="V65" s="3259">
        <f>+T65+T66</f>
        <v>18</v>
      </c>
    </row>
    <row r="66" spans="1:30" ht="12.75" customHeight="1" x14ac:dyDescent="0.4">
      <c r="B66" s="3283"/>
      <c r="C66" s="2467" t="s">
        <v>959</v>
      </c>
      <c r="D66" s="2531">
        <v>0</v>
      </c>
      <c r="E66" s="2531">
        <v>7</v>
      </c>
      <c r="F66" s="2532">
        <v>0</v>
      </c>
      <c r="G66" s="2532">
        <v>3</v>
      </c>
      <c r="H66" s="2532">
        <v>0</v>
      </c>
      <c r="I66" s="2531">
        <v>0</v>
      </c>
      <c r="J66" s="2532">
        <v>0</v>
      </c>
      <c r="K66" s="725">
        <f t="shared" si="25"/>
        <v>10</v>
      </c>
      <c r="L66" s="1452" t="s">
        <v>960</v>
      </c>
      <c r="M66" s="730">
        <v>1</v>
      </c>
      <c r="N66" s="730">
        <v>10</v>
      </c>
      <c r="O66" s="730">
        <v>5</v>
      </c>
      <c r="P66" s="730">
        <v>0</v>
      </c>
      <c r="Q66" s="730">
        <v>0</v>
      </c>
      <c r="R66" s="730">
        <v>0</v>
      </c>
      <c r="S66" s="730">
        <v>0</v>
      </c>
      <c r="T66" s="1524">
        <f t="shared" si="26"/>
        <v>16</v>
      </c>
      <c r="U66" s="3278"/>
      <c r="V66" s="3259"/>
    </row>
    <row r="67" spans="1:30" ht="12.75" customHeight="1" x14ac:dyDescent="0.4">
      <c r="B67" s="3238" t="s">
        <v>993</v>
      </c>
      <c r="C67" s="2472" t="s">
        <v>958</v>
      </c>
      <c r="D67" s="2533">
        <v>2</v>
      </c>
      <c r="E67" s="2533">
        <v>2</v>
      </c>
      <c r="F67" s="2534">
        <v>0</v>
      </c>
      <c r="G67" s="2534">
        <v>3</v>
      </c>
      <c r="H67" s="2534">
        <v>1</v>
      </c>
      <c r="I67" s="2533">
        <v>5</v>
      </c>
      <c r="J67" s="2534">
        <v>0</v>
      </c>
      <c r="K67" s="721">
        <f>SUM(D67:J67)</f>
        <v>13</v>
      </c>
      <c r="L67" s="1518" t="s">
        <v>947</v>
      </c>
      <c r="M67" s="719">
        <v>0</v>
      </c>
      <c r="N67" s="719">
        <v>5</v>
      </c>
      <c r="O67" s="719">
        <v>5</v>
      </c>
      <c r="P67" s="719">
        <v>0</v>
      </c>
      <c r="Q67" s="719">
        <v>0</v>
      </c>
      <c r="R67" s="719">
        <v>0</v>
      </c>
      <c r="S67" s="719">
        <v>0</v>
      </c>
      <c r="T67" s="1519">
        <f t="shared" si="26"/>
        <v>10</v>
      </c>
      <c r="U67" s="3278">
        <f>+K67+K68</f>
        <v>27</v>
      </c>
      <c r="V67" s="3259">
        <f>+T67+T68</f>
        <v>27</v>
      </c>
    </row>
    <row r="68" spans="1:30" ht="12.75" customHeight="1" thickBot="1" x14ac:dyDescent="0.45">
      <c r="B68" s="3284"/>
      <c r="C68" s="2535" t="s">
        <v>959</v>
      </c>
      <c r="D68" s="2536">
        <v>1</v>
      </c>
      <c r="E68" s="2536">
        <v>6</v>
      </c>
      <c r="F68" s="2537">
        <v>0</v>
      </c>
      <c r="G68" s="2537">
        <v>2</v>
      </c>
      <c r="H68" s="2537">
        <v>0</v>
      </c>
      <c r="I68" s="2536">
        <v>5</v>
      </c>
      <c r="J68" s="2537">
        <v>0</v>
      </c>
      <c r="K68" s="721">
        <f>SUM(D68:J68)</f>
        <v>14</v>
      </c>
      <c r="L68" s="738" t="s">
        <v>960</v>
      </c>
      <c r="M68" s="1534">
        <v>1</v>
      </c>
      <c r="N68" s="1534">
        <v>9</v>
      </c>
      <c r="O68" s="1534">
        <v>4</v>
      </c>
      <c r="P68" s="1534">
        <v>2</v>
      </c>
      <c r="Q68" s="1534">
        <v>1</v>
      </c>
      <c r="R68" s="1534">
        <v>0</v>
      </c>
      <c r="S68" s="1534">
        <v>0</v>
      </c>
      <c r="T68" s="1535">
        <f t="shared" si="26"/>
        <v>17</v>
      </c>
      <c r="U68" s="3278"/>
      <c r="V68" s="3259"/>
    </row>
    <row r="69" spans="1:30" ht="12.75" customHeight="1" x14ac:dyDescent="0.4">
      <c r="B69" s="1509" t="s">
        <v>994</v>
      </c>
      <c r="C69" s="2504"/>
      <c r="D69" s="1547"/>
      <c r="E69" s="1548"/>
      <c r="F69" s="1549"/>
      <c r="G69" s="1549"/>
      <c r="H69" s="1549"/>
      <c r="I69" s="1549"/>
      <c r="J69" s="1550"/>
      <c r="K69" s="1551"/>
      <c r="L69" s="1548"/>
      <c r="M69" s="729"/>
      <c r="N69" s="729"/>
      <c r="O69" s="729"/>
      <c r="P69" s="729"/>
      <c r="Q69" s="729"/>
      <c r="R69" s="729"/>
      <c r="S69" s="729"/>
      <c r="T69" s="1553"/>
      <c r="U69" s="1457"/>
      <c r="V69" s="1450"/>
    </row>
    <row r="70" spans="1:30" ht="12.75" customHeight="1" x14ac:dyDescent="0.4">
      <c r="B70" s="3279" t="s">
        <v>995</v>
      </c>
      <c r="C70" s="2467" t="s">
        <v>958</v>
      </c>
      <c r="D70" s="2538">
        <v>2</v>
      </c>
      <c r="E70" s="2538">
        <v>109</v>
      </c>
      <c r="F70" s="2539">
        <v>0</v>
      </c>
      <c r="G70" s="2539">
        <v>1</v>
      </c>
      <c r="H70" s="2539">
        <v>2</v>
      </c>
      <c r="I70" s="2538">
        <v>9</v>
      </c>
      <c r="J70" s="2539">
        <v>0</v>
      </c>
      <c r="K70" s="721">
        <f t="shared" ref="K70:K73" si="27">SUM(D70:J70)</f>
        <v>123</v>
      </c>
      <c r="L70" s="1513" t="s">
        <v>947</v>
      </c>
      <c r="M70" s="730">
        <v>0</v>
      </c>
      <c r="N70" s="730">
        <v>5</v>
      </c>
      <c r="O70" s="730">
        <v>9</v>
      </c>
      <c r="P70" s="730">
        <v>0</v>
      </c>
      <c r="Q70" s="730">
        <v>0</v>
      </c>
      <c r="R70" s="730">
        <v>0</v>
      </c>
      <c r="S70" s="730">
        <v>0</v>
      </c>
      <c r="T70" s="1554">
        <f>SUM(M70:S70)</f>
        <v>14</v>
      </c>
      <c r="U70" s="3281">
        <f>+T70+T71</f>
        <v>130</v>
      </c>
      <c r="V70" s="3259">
        <f>+T70+T71</f>
        <v>130</v>
      </c>
    </row>
    <row r="71" spans="1:30" ht="12.75" customHeight="1" x14ac:dyDescent="0.4">
      <c r="B71" s="3280"/>
      <c r="C71" s="2475" t="s">
        <v>959</v>
      </c>
      <c r="D71" s="2540">
        <v>2</v>
      </c>
      <c r="E71" s="2540">
        <v>0</v>
      </c>
      <c r="F71" s="2541">
        <v>0</v>
      </c>
      <c r="G71" s="2541">
        <v>0</v>
      </c>
      <c r="H71" s="2541">
        <v>0</v>
      </c>
      <c r="I71" s="2540">
        <v>5</v>
      </c>
      <c r="J71" s="2541">
        <v>0</v>
      </c>
      <c r="K71" s="725">
        <f t="shared" si="27"/>
        <v>7</v>
      </c>
      <c r="L71" s="1520" t="s">
        <v>960</v>
      </c>
      <c r="M71" s="720">
        <v>0</v>
      </c>
      <c r="N71" s="720">
        <v>20</v>
      </c>
      <c r="O71" s="720">
        <v>94</v>
      </c>
      <c r="P71" s="720">
        <v>2</v>
      </c>
      <c r="Q71" s="720">
        <v>0</v>
      </c>
      <c r="R71" s="720">
        <v>0</v>
      </c>
      <c r="S71" s="720">
        <v>0</v>
      </c>
      <c r="T71" s="1555">
        <f>SUM(M71:S71)</f>
        <v>116</v>
      </c>
      <c r="U71" s="3281"/>
      <c r="V71" s="3259"/>
    </row>
    <row r="72" spans="1:30" ht="12.75" customHeight="1" x14ac:dyDescent="0.4">
      <c r="B72" s="3282" t="s">
        <v>996</v>
      </c>
      <c r="C72" s="2472" t="s">
        <v>958</v>
      </c>
      <c r="D72" s="2542">
        <v>0</v>
      </c>
      <c r="E72" s="2542">
        <v>24</v>
      </c>
      <c r="F72" s="2543">
        <v>0</v>
      </c>
      <c r="G72" s="2543">
        <v>3</v>
      </c>
      <c r="H72" s="2543">
        <v>3</v>
      </c>
      <c r="I72" s="2542">
        <v>13</v>
      </c>
      <c r="J72" s="2543">
        <v>0</v>
      </c>
      <c r="K72" s="1536">
        <f t="shared" si="27"/>
        <v>43</v>
      </c>
      <c r="L72" s="1518" t="s">
        <v>947</v>
      </c>
      <c r="M72" s="719">
        <v>1</v>
      </c>
      <c r="N72" s="719">
        <v>7</v>
      </c>
      <c r="O72" s="719">
        <v>7</v>
      </c>
      <c r="P72" s="719">
        <v>1</v>
      </c>
      <c r="Q72" s="719">
        <v>1</v>
      </c>
      <c r="R72" s="719">
        <v>1</v>
      </c>
      <c r="S72" s="719">
        <v>0</v>
      </c>
      <c r="T72" s="1519">
        <f t="shared" ref="T72:T73" si="28">SUM(M72:S72)</f>
        <v>18</v>
      </c>
      <c r="U72" s="2335"/>
      <c r="V72" s="2330"/>
      <c r="X72" s="1386">
        <v>101</v>
      </c>
      <c r="Y72" s="1386">
        <v>463</v>
      </c>
      <c r="Z72" s="1386">
        <v>11</v>
      </c>
      <c r="AA72" s="1386">
        <v>280</v>
      </c>
      <c r="AB72" s="1386">
        <v>137</v>
      </c>
      <c r="AC72" s="1386">
        <v>344</v>
      </c>
      <c r="AD72" s="1444">
        <v>28</v>
      </c>
    </row>
    <row r="73" spans="1:30" ht="12.75" customHeight="1" x14ac:dyDescent="0.4">
      <c r="B73" s="3283"/>
      <c r="C73" s="2475" t="s">
        <v>959</v>
      </c>
      <c r="D73" s="2544">
        <v>0</v>
      </c>
      <c r="E73" s="2544">
        <v>6</v>
      </c>
      <c r="F73" s="2545">
        <v>0</v>
      </c>
      <c r="G73" s="2545">
        <v>2</v>
      </c>
      <c r="H73" s="2545">
        <v>0</v>
      </c>
      <c r="I73" s="2544">
        <v>5</v>
      </c>
      <c r="J73" s="2545">
        <v>0</v>
      </c>
      <c r="K73" s="725">
        <f t="shared" si="27"/>
        <v>13</v>
      </c>
      <c r="L73" s="726" t="s">
        <v>960</v>
      </c>
      <c r="M73" s="720">
        <v>1</v>
      </c>
      <c r="N73" s="720">
        <v>16</v>
      </c>
      <c r="O73" s="720">
        <v>19</v>
      </c>
      <c r="P73" s="720">
        <v>2</v>
      </c>
      <c r="Q73" s="720">
        <v>0</v>
      </c>
      <c r="R73" s="720">
        <v>0</v>
      </c>
      <c r="S73" s="720">
        <v>0</v>
      </c>
      <c r="T73" s="1524">
        <f t="shared" si="28"/>
        <v>38</v>
      </c>
      <c r="U73" s="2335">
        <f>+T72+T73</f>
        <v>56</v>
      </c>
      <c r="V73" s="2330">
        <f>+K72+K73</f>
        <v>56</v>
      </c>
    </row>
    <row r="74" spans="1:30" ht="12.75" customHeight="1" x14ac:dyDescent="0.4">
      <c r="B74" s="3237" t="s">
        <v>997</v>
      </c>
      <c r="C74" s="2467" t="s">
        <v>958</v>
      </c>
      <c r="D74" s="2546">
        <v>0</v>
      </c>
      <c r="E74" s="2546">
        <v>3</v>
      </c>
      <c r="F74" s="2547">
        <v>0</v>
      </c>
      <c r="G74" s="2547">
        <v>0</v>
      </c>
      <c r="H74" s="2547">
        <v>0</v>
      </c>
      <c r="I74" s="2546">
        <v>2</v>
      </c>
      <c r="J74" s="2547">
        <v>1</v>
      </c>
      <c r="K74" s="721">
        <f>SUM(D74:J74)</f>
        <v>6</v>
      </c>
      <c r="L74" s="1452" t="s">
        <v>947</v>
      </c>
      <c r="M74" s="730">
        <v>0</v>
      </c>
      <c r="N74" s="730">
        <v>0</v>
      </c>
      <c r="O74" s="730">
        <v>2</v>
      </c>
      <c r="P74" s="730">
        <v>0</v>
      </c>
      <c r="Q74" s="730">
        <v>0</v>
      </c>
      <c r="R74" s="730">
        <v>0</v>
      </c>
      <c r="S74" s="730">
        <v>0</v>
      </c>
      <c r="T74" s="723">
        <f>SUM(M74:S74)</f>
        <v>2</v>
      </c>
      <c r="U74" s="3281">
        <f>+T74+T75</f>
        <v>6</v>
      </c>
      <c r="V74" s="3259">
        <f>+T74+T75</f>
        <v>6</v>
      </c>
    </row>
    <row r="75" spans="1:30" ht="12.75" customHeight="1" thickBot="1" x14ac:dyDescent="0.45">
      <c r="B75" s="3284"/>
      <c r="C75" s="2535" t="s">
        <v>959</v>
      </c>
      <c r="D75" s="2548">
        <v>0</v>
      </c>
      <c r="E75" s="2548">
        <v>0</v>
      </c>
      <c r="F75" s="2549">
        <v>0</v>
      </c>
      <c r="G75" s="2549">
        <v>0</v>
      </c>
      <c r="H75" s="2549">
        <v>0</v>
      </c>
      <c r="I75" s="2548">
        <v>0</v>
      </c>
      <c r="J75" s="2550">
        <v>0</v>
      </c>
      <c r="K75" s="1556">
        <f>SUM(D75:J75)</f>
        <v>0</v>
      </c>
      <c r="L75" s="738" t="s">
        <v>960</v>
      </c>
      <c r="M75" s="1534">
        <v>0</v>
      </c>
      <c r="N75" s="1534">
        <v>2</v>
      </c>
      <c r="O75" s="1534">
        <v>2</v>
      </c>
      <c r="P75" s="1534">
        <v>0</v>
      </c>
      <c r="Q75" s="1534">
        <v>0</v>
      </c>
      <c r="R75" s="1534">
        <v>0</v>
      </c>
      <c r="S75" s="1534">
        <v>0</v>
      </c>
      <c r="T75" s="1535">
        <f>SUM(M75:S75)</f>
        <v>4</v>
      </c>
      <c r="U75" s="3281"/>
      <c r="V75" s="3259"/>
    </row>
    <row r="76" spans="1:30" ht="12.75" customHeight="1" x14ac:dyDescent="0.4">
      <c r="B76" s="1510" t="s">
        <v>998</v>
      </c>
      <c r="C76" s="2467"/>
      <c r="D76" s="1512"/>
      <c r="E76" s="1513"/>
      <c r="F76" s="1515"/>
      <c r="G76" s="1515"/>
      <c r="H76" s="1515"/>
      <c r="I76" s="1515"/>
      <c r="J76" s="1514"/>
      <c r="K76" s="721"/>
      <c r="L76" s="1452"/>
      <c r="M76" s="730"/>
      <c r="N76" s="730"/>
      <c r="O76" s="730"/>
      <c r="P76" s="730"/>
      <c r="Q76" s="730"/>
      <c r="R76" s="730"/>
      <c r="S76" s="730"/>
      <c r="T76" s="723"/>
      <c r="U76" s="1456"/>
      <c r="V76" s="1450"/>
    </row>
    <row r="77" spans="1:30" ht="12.75" customHeight="1" x14ac:dyDescent="0.4">
      <c r="A77" s="3240">
        <v>87</v>
      </c>
      <c r="B77" s="3237" t="s">
        <v>999</v>
      </c>
      <c r="C77" s="2467" t="s">
        <v>958</v>
      </c>
      <c r="D77" s="2551">
        <v>4</v>
      </c>
      <c r="E77" s="2551">
        <v>9</v>
      </c>
      <c r="F77" s="2552">
        <v>0</v>
      </c>
      <c r="G77" s="2552">
        <v>6</v>
      </c>
      <c r="H77" s="2552">
        <v>1</v>
      </c>
      <c r="I77" s="2551">
        <v>8</v>
      </c>
      <c r="J77" s="2552">
        <v>0</v>
      </c>
      <c r="K77" s="721">
        <f t="shared" ref="K77:K86" si="29">SUM(D77:J77)</f>
        <v>28</v>
      </c>
      <c r="L77" s="1452" t="s">
        <v>947</v>
      </c>
      <c r="M77" s="730">
        <v>0</v>
      </c>
      <c r="N77" s="730">
        <v>8</v>
      </c>
      <c r="O77" s="730">
        <v>3</v>
      </c>
      <c r="P77" s="730">
        <v>1</v>
      </c>
      <c r="Q77" s="730">
        <v>0</v>
      </c>
      <c r="R77" s="730">
        <v>0</v>
      </c>
      <c r="S77" s="730">
        <v>0</v>
      </c>
      <c r="T77" s="723">
        <v>12</v>
      </c>
      <c r="U77" s="3278">
        <f>+T77+T78</f>
        <v>43</v>
      </c>
      <c r="V77" s="3259">
        <f>+T77+T78</f>
        <v>43</v>
      </c>
    </row>
    <row r="78" spans="1:30" ht="12.75" customHeight="1" x14ac:dyDescent="0.4">
      <c r="A78" s="3240"/>
      <c r="B78" s="3239"/>
      <c r="C78" s="2475" t="s">
        <v>959</v>
      </c>
      <c r="D78" s="2553">
        <v>5</v>
      </c>
      <c r="E78" s="2553">
        <v>3</v>
      </c>
      <c r="F78" s="2554">
        <v>0</v>
      </c>
      <c r="G78" s="2554">
        <v>3</v>
      </c>
      <c r="H78" s="2554">
        <v>0</v>
      </c>
      <c r="I78" s="2553">
        <v>4</v>
      </c>
      <c r="J78" s="2554">
        <v>0</v>
      </c>
      <c r="K78" s="725">
        <f t="shared" si="29"/>
        <v>15</v>
      </c>
      <c r="L78" s="726" t="s">
        <v>960</v>
      </c>
      <c r="M78" s="720">
        <v>0</v>
      </c>
      <c r="N78" s="720">
        <v>19</v>
      </c>
      <c r="O78" s="720">
        <v>7</v>
      </c>
      <c r="P78" s="720">
        <v>1</v>
      </c>
      <c r="Q78" s="720">
        <v>4</v>
      </c>
      <c r="R78" s="720">
        <v>0</v>
      </c>
      <c r="S78" s="720">
        <v>0</v>
      </c>
      <c r="T78" s="1524">
        <f t="shared" ref="T78:T86" si="30">SUM(M78:S78)</f>
        <v>31</v>
      </c>
      <c r="U78" s="3278"/>
      <c r="V78" s="3259"/>
    </row>
    <row r="79" spans="1:30" ht="12.75" customHeight="1" x14ac:dyDescent="0.4">
      <c r="A79" s="1458"/>
      <c r="B79" s="3238" t="s">
        <v>1000</v>
      </c>
      <c r="C79" s="2472" t="s">
        <v>958</v>
      </c>
      <c r="D79" s="2555">
        <v>2</v>
      </c>
      <c r="E79" s="2555">
        <v>11</v>
      </c>
      <c r="F79" s="2556">
        <v>0</v>
      </c>
      <c r="G79" s="2556">
        <v>4</v>
      </c>
      <c r="H79" s="2556">
        <v>1</v>
      </c>
      <c r="I79" s="2555">
        <v>4</v>
      </c>
      <c r="J79" s="2556">
        <v>0</v>
      </c>
      <c r="K79" s="1536">
        <f t="shared" si="29"/>
        <v>22</v>
      </c>
      <c r="L79" s="1518" t="s">
        <v>947</v>
      </c>
      <c r="M79" s="719">
        <v>0</v>
      </c>
      <c r="N79" s="719">
        <v>1</v>
      </c>
      <c r="O79" s="719">
        <v>3</v>
      </c>
      <c r="P79" s="719">
        <v>0</v>
      </c>
      <c r="Q79" s="719">
        <v>1</v>
      </c>
      <c r="R79" s="719">
        <v>0</v>
      </c>
      <c r="S79" s="719">
        <v>0</v>
      </c>
      <c r="T79" s="1519">
        <f t="shared" si="30"/>
        <v>5</v>
      </c>
      <c r="U79" s="3278">
        <f>+T79+T80</f>
        <v>37</v>
      </c>
      <c r="V79" s="3259">
        <f>+T79+T80</f>
        <v>37</v>
      </c>
    </row>
    <row r="80" spans="1:30" ht="12.75" customHeight="1" x14ac:dyDescent="0.4">
      <c r="A80" s="1458"/>
      <c r="B80" s="3239"/>
      <c r="C80" s="2475" t="s">
        <v>959</v>
      </c>
      <c r="D80" s="2557">
        <v>0</v>
      </c>
      <c r="E80" s="2557">
        <v>7</v>
      </c>
      <c r="F80" s="2558">
        <v>0</v>
      </c>
      <c r="G80" s="2558">
        <v>7</v>
      </c>
      <c r="H80" s="2558">
        <v>0</v>
      </c>
      <c r="I80" s="2557">
        <v>1</v>
      </c>
      <c r="J80" s="2558">
        <v>0</v>
      </c>
      <c r="K80" s="725">
        <f t="shared" si="29"/>
        <v>15</v>
      </c>
      <c r="L80" s="726" t="s">
        <v>960</v>
      </c>
      <c r="M80" s="720">
        <v>1</v>
      </c>
      <c r="N80" s="720">
        <v>11</v>
      </c>
      <c r="O80" s="720">
        <v>17</v>
      </c>
      <c r="P80" s="720">
        <v>1</v>
      </c>
      <c r="Q80" s="720">
        <v>2</v>
      </c>
      <c r="R80" s="720">
        <v>0</v>
      </c>
      <c r="S80" s="720">
        <v>0</v>
      </c>
      <c r="T80" s="1524">
        <f t="shared" si="30"/>
        <v>32</v>
      </c>
      <c r="U80" s="3278"/>
      <c r="V80" s="3259"/>
    </row>
    <row r="81" spans="2:32" ht="12.75" customHeight="1" x14ac:dyDescent="0.4">
      <c r="B81" s="3238" t="s">
        <v>1001</v>
      </c>
      <c r="C81" s="2472" t="s">
        <v>958</v>
      </c>
      <c r="D81" s="2559">
        <v>7</v>
      </c>
      <c r="E81" s="2559">
        <v>7</v>
      </c>
      <c r="F81" s="2560">
        <v>0</v>
      </c>
      <c r="G81" s="2560">
        <v>8</v>
      </c>
      <c r="H81" s="2560">
        <v>2</v>
      </c>
      <c r="I81" s="2559">
        <v>19</v>
      </c>
      <c r="J81" s="2560">
        <v>0</v>
      </c>
      <c r="K81" s="721">
        <f t="shared" si="29"/>
        <v>43</v>
      </c>
      <c r="L81" s="1518" t="s">
        <v>947</v>
      </c>
      <c r="M81" s="719">
        <v>0</v>
      </c>
      <c r="N81" s="719">
        <v>13</v>
      </c>
      <c r="O81" s="719">
        <v>13</v>
      </c>
      <c r="P81" s="719">
        <v>3</v>
      </c>
      <c r="Q81" s="719">
        <v>0</v>
      </c>
      <c r="R81" s="719">
        <v>0</v>
      </c>
      <c r="S81" s="719">
        <v>0</v>
      </c>
      <c r="T81" s="1519">
        <f t="shared" si="30"/>
        <v>29</v>
      </c>
      <c r="U81" s="3278">
        <f>+T81+T82</f>
        <v>77</v>
      </c>
      <c r="V81" s="3259">
        <f>+T81+T82</f>
        <v>77</v>
      </c>
      <c r="AD81" s="2561" t="s">
        <v>1002</v>
      </c>
      <c r="AE81" s="2562">
        <v>977</v>
      </c>
      <c r="AF81" s="2663">
        <f>AE81/$AE$85</f>
        <v>0.13556264742611351</v>
      </c>
    </row>
    <row r="82" spans="2:32" ht="16.5" customHeight="1" x14ac:dyDescent="0.4">
      <c r="B82" s="3239"/>
      <c r="C82" s="2475" t="s">
        <v>959</v>
      </c>
      <c r="D82" s="2563">
        <v>4</v>
      </c>
      <c r="E82" s="2563">
        <v>13</v>
      </c>
      <c r="F82" s="2564">
        <v>0</v>
      </c>
      <c r="G82" s="2564">
        <v>5</v>
      </c>
      <c r="H82" s="2564">
        <v>2</v>
      </c>
      <c r="I82" s="2563">
        <v>10</v>
      </c>
      <c r="J82" s="2564">
        <v>0</v>
      </c>
      <c r="K82" s="725">
        <f t="shared" si="29"/>
        <v>34</v>
      </c>
      <c r="L82" s="726" t="s">
        <v>960</v>
      </c>
      <c r="M82" s="720">
        <v>0</v>
      </c>
      <c r="N82" s="720">
        <v>12</v>
      </c>
      <c r="O82" s="720">
        <v>29</v>
      </c>
      <c r="P82" s="720">
        <v>4</v>
      </c>
      <c r="Q82" s="720">
        <v>3</v>
      </c>
      <c r="R82" s="720">
        <v>0</v>
      </c>
      <c r="S82" s="720">
        <v>0</v>
      </c>
      <c r="T82" s="1524">
        <f t="shared" si="30"/>
        <v>48</v>
      </c>
      <c r="U82" s="3278"/>
      <c r="V82" s="3259"/>
      <c r="AD82" s="2561" t="s">
        <v>1003</v>
      </c>
      <c r="AE82" s="2562">
        <v>2565</v>
      </c>
      <c r="AF82" s="2663">
        <f t="shared" ref="AF82:AF84" si="31">AE82/$AE$85</f>
        <v>0.35590398223948938</v>
      </c>
    </row>
    <row r="83" spans="2:32" ht="12.75" customHeight="1" x14ac:dyDescent="0.4">
      <c r="B83" s="3238" t="s">
        <v>1004</v>
      </c>
      <c r="C83" s="2472" t="s">
        <v>958</v>
      </c>
      <c r="D83" s="2565">
        <v>1</v>
      </c>
      <c r="E83" s="2565">
        <v>3</v>
      </c>
      <c r="F83" s="2566">
        <v>0</v>
      </c>
      <c r="G83" s="2566">
        <v>8</v>
      </c>
      <c r="H83" s="2566">
        <v>2</v>
      </c>
      <c r="I83" s="2565">
        <v>10</v>
      </c>
      <c r="J83" s="2566">
        <v>0</v>
      </c>
      <c r="K83" s="721">
        <f t="shared" si="29"/>
        <v>24</v>
      </c>
      <c r="L83" s="1518" t="s">
        <v>947</v>
      </c>
      <c r="M83" s="719">
        <v>0</v>
      </c>
      <c r="N83" s="719">
        <v>3</v>
      </c>
      <c r="O83" s="719">
        <v>9</v>
      </c>
      <c r="P83" s="719">
        <v>1</v>
      </c>
      <c r="Q83" s="719">
        <v>0</v>
      </c>
      <c r="R83" s="719">
        <v>0</v>
      </c>
      <c r="S83" s="719">
        <v>0</v>
      </c>
      <c r="T83" s="1519">
        <f t="shared" si="30"/>
        <v>13</v>
      </c>
      <c r="U83" s="3278">
        <f>+T83+T84</f>
        <v>40</v>
      </c>
      <c r="V83" s="3259">
        <f>+T83+T84</f>
        <v>40</v>
      </c>
      <c r="AD83" s="2561" t="s">
        <v>1005</v>
      </c>
      <c r="AE83" s="2562">
        <v>3401</v>
      </c>
      <c r="AF83" s="2663">
        <f t="shared" si="31"/>
        <v>0.47190231719161924</v>
      </c>
    </row>
    <row r="84" spans="2:32" ht="12.75" customHeight="1" x14ac:dyDescent="0.4">
      <c r="B84" s="3239"/>
      <c r="C84" s="2475" t="s">
        <v>959</v>
      </c>
      <c r="D84" s="2567">
        <v>1</v>
      </c>
      <c r="E84" s="2567">
        <v>9</v>
      </c>
      <c r="F84" s="2568">
        <v>0</v>
      </c>
      <c r="G84" s="2568">
        <v>3</v>
      </c>
      <c r="H84" s="2568">
        <v>0</v>
      </c>
      <c r="I84" s="2567">
        <v>3</v>
      </c>
      <c r="J84" s="2568">
        <v>0</v>
      </c>
      <c r="K84" s="725">
        <f t="shared" si="29"/>
        <v>16</v>
      </c>
      <c r="L84" s="726" t="s">
        <v>960</v>
      </c>
      <c r="M84" s="720">
        <v>0</v>
      </c>
      <c r="N84" s="720">
        <v>9</v>
      </c>
      <c r="O84" s="720">
        <v>16</v>
      </c>
      <c r="P84" s="720">
        <v>1</v>
      </c>
      <c r="Q84" s="720">
        <v>1</v>
      </c>
      <c r="R84" s="720">
        <v>0</v>
      </c>
      <c r="S84" s="720">
        <v>0</v>
      </c>
      <c r="T84" s="1524">
        <f t="shared" si="30"/>
        <v>27</v>
      </c>
      <c r="U84" s="3278"/>
      <c r="V84" s="3259"/>
      <c r="AD84" s="2561" t="s">
        <v>1006</v>
      </c>
      <c r="AE84" s="2562">
        <v>264</v>
      </c>
      <c r="AF84" s="2663">
        <f t="shared" si="31"/>
        <v>3.6631053142777856E-2</v>
      </c>
    </row>
    <row r="85" spans="2:32" ht="12.75" customHeight="1" x14ac:dyDescent="0.4">
      <c r="B85" s="3238" t="s">
        <v>1007</v>
      </c>
      <c r="C85" s="2472" t="s">
        <v>958</v>
      </c>
      <c r="D85" s="2565">
        <v>0</v>
      </c>
      <c r="E85" s="2565">
        <v>4</v>
      </c>
      <c r="F85" s="2566">
        <v>1</v>
      </c>
      <c r="G85" s="2566">
        <v>12</v>
      </c>
      <c r="H85" s="2566">
        <v>0</v>
      </c>
      <c r="I85" s="2565">
        <v>1</v>
      </c>
      <c r="J85" s="2566">
        <v>0</v>
      </c>
      <c r="K85" s="721">
        <f t="shared" si="29"/>
        <v>18</v>
      </c>
      <c r="L85" s="1518" t="s">
        <v>947</v>
      </c>
      <c r="M85" s="719">
        <v>0</v>
      </c>
      <c r="N85" s="719">
        <v>1</v>
      </c>
      <c r="O85" s="719">
        <v>0</v>
      </c>
      <c r="P85" s="719">
        <v>0</v>
      </c>
      <c r="Q85" s="719">
        <v>0</v>
      </c>
      <c r="R85" s="719">
        <v>0</v>
      </c>
      <c r="S85" s="719">
        <v>0</v>
      </c>
      <c r="T85" s="1519">
        <f t="shared" si="30"/>
        <v>1</v>
      </c>
      <c r="U85" s="3278">
        <f>+T85+T86</f>
        <v>23</v>
      </c>
      <c r="V85" s="3259">
        <f>+T85+T86</f>
        <v>23</v>
      </c>
      <c r="AD85" s="2561"/>
      <c r="AE85" s="2562">
        <f>SUM(AE81:AE84)</f>
        <v>7207</v>
      </c>
    </row>
    <row r="86" spans="2:32" ht="12.75" customHeight="1" thickBot="1" x14ac:dyDescent="0.45">
      <c r="B86" s="3239"/>
      <c r="C86" s="2475" t="s">
        <v>959</v>
      </c>
      <c r="D86" s="2567">
        <v>0</v>
      </c>
      <c r="E86" s="2567">
        <v>4</v>
      </c>
      <c r="F86" s="2568">
        <v>0</v>
      </c>
      <c r="G86" s="2568">
        <v>1</v>
      </c>
      <c r="H86" s="2568">
        <v>0</v>
      </c>
      <c r="I86" s="2567">
        <v>0</v>
      </c>
      <c r="J86" s="2568">
        <v>0</v>
      </c>
      <c r="K86" s="725">
        <f t="shared" si="29"/>
        <v>5</v>
      </c>
      <c r="L86" s="726" t="s">
        <v>960</v>
      </c>
      <c r="M86" s="720">
        <v>4</v>
      </c>
      <c r="N86" s="720">
        <v>9</v>
      </c>
      <c r="O86" s="720">
        <v>9</v>
      </c>
      <c r="P86" s="720">
        <v>0</v>
      </c>
      <c r="Q86" s="720">
        <v>0</v>
      </c>
      <c r="R86" s="720">
        <v>0</v>
      </c>
      <c r="S86" s="720">
        <v>0</v>
      </c>
      <c r="T86" s="1524">
        <f t="shared" si="30"/>
        <v>22</v>
      </c>
      <c r="U86" s="3278"/>
      <c r="V86" s="3259"/>
      <c r="AD86" s="2561"/>
      <c r="AE86" s="2562"/>
    </row>
    <row r="87" spans="2:32" ht="11.25" customHeight="1" x14ac:dyDescent="0.4">
      <c r="B87" s="3241" t="s">
        <v>1008</v>
      </c>
      <c r="C87" s="2344" t="s">
        <v>958</v>
      </c>
      <c r="D87" s="2345">
        <f t="shared" ref="D87:K87" si="32">+D83+D81+D79+D77+D74+D70+D67+D65+D63+D61+D56+D44+D52+D50+D46+D42+D40+D38+D72+D35+D33+D31+D28+D26+D24+D22+D20+D18+D16+D14+D12+D10+D8+D6+D4+D59+D85</f>
        <v>63</v>
      </c>
      <c r="E87" s="2345">
        <f t="shared" si="32"/>
        <v>300</v>
      </c>
      <c r="F87" s="2345">
        <f t="shared" si="32"/>
        <v>10</v>
      </c>
      <c r="G87" s="2345">
        <f t="shared" si="32"/>
        <v>225</v>
      </c>
      <c r="H87" s="2345">
        <f t="shared" si="32"/>
        <v>129</v>
      </c>
      <c r="I87" s="2345">
        <f t="shared" si="32"/>
        <v>274</v>
      </c>
      <c r="J87" s="2345">
        <f t="shared" si="32"/>
        <v>26</v>
      </c>
      <c r="K87" s="2345">
        <f t="shared" si="32"/>
        <v>1027</v>
      </c>
      <c r="L87" s="2346" t="s">
        <v>947</v>
      </c>
      <c r="M87" s="2345">
        <f t="shared" ref="M87:T87" si="33">+M83+M81+M79+M77+M74+M70+M67+M65+M63+M61+M56+M44+M52+M50+M46+M42+M40+M38+M72+M35+M33+M31+M28+M26+M24+M22+M20+M18+M16+M14+M12+M10+M8+M6+M4+M59+M85</f>
        <v>10</v>
      </c>
      <c r="N87" s="2345">
        <f t="shared" si="33"/>
        <v>124</v>
      </c>
      <c r="O87" s="2345">
        <f t="shared" si="33"/>
        <v>165</v>
      </c>
      <c r="P87" s="2345">
        <f t="shared" si="33"/>
        <v>28</v>
      </c>
      <c r="Q87" s="2345">
        <f t="shared" si="33"/>
        <v>15</v>
      </c>
      <c r="R87" s="2345">
        <f t="shared" si="33"/>
        <v>1</v>
      </c>
      <c r="S87" s="2345">
        <f t="shared" si="33"/>
        <v>1</v>
      </c>
      <c r="T87" s="2345">
        <f t="shared" si="33"/>
        <v>344</v>
      </c>
      <c r="U87" s="3278">
        <f>+T87+T88</f>
        <v>1367</v>
      </c>
      <c r="V87" s="3259">
        <f>+T87+T88</f>
        <v>1367</v>
      </c>
      <c r="X87" s="1386">
        <f>SUM(D87:J87)</f>
        <v>1027</v>
      </c>
      <c r="AD87" s="2561"/>
      <c r="AE87" s="2562"/>
    </row>
    <row r="88" spans="2:32" ht="11.25" customHeight="1" thickBot="1" x14ac:dyDescent="0.45">
      <c r="B88" s="3242"/>
      <c r="C88" s="2347" t="s">
        <v>959</v>
      </c>
      <c r="D88" s="2348">
        <f>+D73+D84+D82+D80+D78+D75++D71+D68+D66+D45+D64+D62+D57+D53+D51+D47+D43+D41+D39+D36+D34+D32+D29+D27+D25+D23+D21+D19+D17+D15+D13+D11+D9+D7+D5+D60+D86</f>
        <v>38</v>
      </c>
      <c r="E88" s="2348">
        <f>+E73+E84+E82+E80+E78+E75++E71+E68+E66+E45+E64+E62+E57+E53+E51+E47+E43+E41+E39+E36+E34+E32+E29+E27+E25+E23+E21+E19+E17+E15+E13+E11+E9+E7+E5+E60+E86</f>
        <v>163</v>
      </c>
      <c r="F88" s="2348">
        <f>+F73+F84+F82+F80+F78+F75++F71+F68+F66+F45+F64+F62+F57+F53+F51+F47+F43+F41+F39+F36+F34+F32+F29+F27+F25+F23+F21+F19+F17+F15+F13+F11+F9+F7+F5+F60+F86</f>
        <v>1</v>
      </c>
      <c r="G88" s="2348">
        <f t="shared" ref="G88:J88" si="34">+G73+G84+G82+G80+G78+G75++G71+G68+G66+G45+G64+G62+G57+G53+G51+G47+G43+G41+G39+G36+G34+G32+G29+G27+G25+G23+G21+G19+G17+G15+G13+G11+G9+G7+G5+G60+G86</f>
        <v>55</v>
      </c>
      <c r="H88" s="2348">
        <f t="shared" si="34"/>
        <v>8</v>
      </c>
      <c r="I88" s="2348">
        <f t="shared" si="34"/>
        <v>70</v>
      </c>
      <c r="J88" s="2348">
        <f t="shared" si="34"/>
        <v>2</v>
      </c>
      <c r="K88" s="2348">
        <f>+K73+K84+K82+K80+K78+K75++K71+K68+K66+K45+K64+K62+K57+K53+K51+K47+K43+K41+K39+K36+K34+K32+K29+K27+K25+K23+K21+K19+K17+K15+K13+K11+K9+K7+K5+K60+K86</f>
        <v>337</v>
      </c>
      <c r="L88" s="2349" t="s">
        <v>960</v>
      </c>
      <c r="M88" s="2348">
        <f t="shared" ref="M88:S88" si="35">+M73+M84+M82+M80+M78+M75++M71+M68+M66+M45+M64+M62+M57+M53+M51+M47+M43+M41+M39+M36+M34+M32+M29+M27+M25+M23+M21+M19+M17+M15+M13+M11+M9+M7+M5+M60+M86</f>
        <v>21</v>
      </c>
      <c r="N88" s="2348">
        <f t="shared" si="35"/>
        <v>359</v>
      </c>
      <c r="O88" s="2348">
        <f t="shared" si="35"/>
        <v>515</v>
      </c>
      <c r="P88" s="2348">
        <f t="shared" si="35"/>
        <v>58</v>
      </c>
      <c r="Q88" s="2348">
        <f t="shared" si="35"/>
        <v>65</v>
      </c>
      <c r="R88" s="2348">
        <f t="shared" si="35"/>
        <v>3</v>
      </c>
      <c r="S88" s="2348">
        <f t="shared" si="35"/>
        <v>2</v>
      </c>
      <c r="T88" s="2348">
        <f>+T84+T82+T80+T78+T75+T71+T68+T66+T64+T62+T57+T45+T53+T51+T47+T43+T41+T39+T73+T36+T34+T32+T29+T27+T25+T23+T21+T19+T17+T15+T13+T11+T9+T7+T5+T60+T86</f>
        <v>1023</v>
      </c>
      <c r="U88" s="3278"/>
      <c r="V88" s="3259"/>
      <c r="X88" s="1386">
        <f>SUM(D88:J88)</f>
        <v>337</v>
      </c>
      <c r="AE88" s="2569"/>
    </row>
    <row r="89" spans="2:32" ht="16.5" thickBot="1" x14ac:dyDescent="0.45">
      <c r="B89" s="3270" t="s">
        <v>1009</v>
      </c>
      <c r="C89" s="3271"/>
      <c r="D89" s="2350">
        <f>SUM(D4:D86)</f>
        <v>101</v>
      </c>
      <c r="E89" s="2351">
        <f>SUM(E4:E86)</f>
        <v>463</v>
      </c>
      <c r="F89" s="2352">
        <f>SUM(F4:F86)</f>
        <v>11</v>
      </c>
      <c r="G89" s="2351">
        <f t="shared" ref="G89:J89" si="36">SUM(G4:G86)</f>
        <v>280</v>
      </c>
      <c r="H89" s="2352">
        <f>SUM(H4:H86)</f>
        <v>137</v>
      </c>
      <c r="I89" s="2351">
        <f t="shared" si="36"/>
        <v>344</v>
      </c>
      <c r="J89" s="2352">
        <f t="shared" si="36"/>
        <v>28</v>
      </c>
      <c r="K89" s="2353">
        <v>1367</v>
      </c>
      <c r="L89" s="2354"/>
      <c r="M89" s="2355">
        <f t="shared" ref="M89:R89" si="37">SUM(M4:M86)</f>
        <v>31</v>
      </c>
      <c r="N89" s="2356">
        <f t="shared" si="37"/>
        <v>483</v>
      </c>
      <c r="O89" s="2355">
        <f t="shared" si="37"/>
        <v>680</v>
      </c>
      <c r="P89" s="2356">
        <f t="shared" si="37"/>
        <v>86</v>
      </c>
      <c r="Q89" s="2355">
        <f t="shared" si="37"/>
        <v>80</v>
      </c>
      <c r="R89" s="2356">
        <f t="shared" si="37"/>
        <v>4</v>
      </c>
      <c r="S89" s="2356">
        <f>SUM(S4:S84)</f>
        <v>3</v>
      </c>
      <c r="T89" s="2357">
        <f>SUM(T4:T86)</f>
        <v>1367</v>
      </c>
      <c r="U89" s="1459"/>
    </row>
    <row r="90" spans="2:32" ht="8.25" customHeight="1" x14ac:dyDescent="0.4"/>
    <row r="91" spans="2:32" ht="21" customHeight="1" x14ac:dyDescent="0.4">
      <c r="B91" s="1460" t="s">
        <v>1010</v>
      </c>
      <c r="C91" s="1460"/>
      <c r="D91" s="1460"/>
      <c r="E91" s="1460"/>
      <c r="F91" s="1460"/>
      <c r="G91" s="1460"/>
      <c r="H91" s="1460"/>
    </row>
    <row r="92" spans="2:32" ht="14.25" customHeight="1" x14ac:dyDescent="0.4"/>
    <row r="93" spans="2:32" ht="8.25" customHeight="1" x14ac:dyDescent="0.4"/>
    <row r="94" spans="2:32" x14ac:dyDescent="0.4">
      <c r="B94" s="3272" t="s">
        <v>1011</v>
      </c>
      <c r="C94" s="3272"/>
      <c r="D94" s="3272"/>
      <c r="E94" s="3272"/>
      <c r="F94" s="3272"/>
      <c r="G94" s="3272"/>
      <c r="H94" s="3272"/>
      <c r="I94" s="3272"/>
      <c r="J94" s="3272"/>
      <c r="K94" s="3272"/>
      <c r="L94" s="3272"/>
      <c r="M94" s="3272"/>
      <c r="N94" s="3272"/>
      <c r="O94" s="3272"/>
      <c r="P94" s="3272"/>
      <c r="Q94" s="3272"/>
      <c r="R94" s="3272"/>
      <c r="S94" s="3272"/>
      <c r="T94" s="3272"/>
      <c r="U94" s="3272"/>
      <c r="W94" s="1461">
        <f>K88+K87</f>
        <v>1364</v>
      </c>
    </row>
    <row r="95" spans="2:32" ht="20.25" customHeight="1" thickBot="1" x14ac:dyDescent="0.45">
      <c r="B95" s="3263" t="s">
        <v>1012</v>
      </c>
      <c r="C95" s="3263"/>
      <c r="D95" s="3263"/>
      <c r="E95" s="3263"/>
      <c r="F95" s="3263"/>
      <c r="G95" s="3263"/>
      <c r="H95" s="3263"/>
      <c r="I95" s="3263"/>
      <c r="J95" s="3263"/>
      <c r="K95" s="3263"/>
      <c r="L95" s="3263"/>
      <c r="M95" s="3263"/>
      <c r="N95" s="3263"/>
      <c r="O95" s="3263"/>
      <c r="P95" s="3263"/>
      <c r="Q95" s="3263"/>
      <c r="R95" s="3263"/>
      <c r="S95" s="3263"/>
      <c r="T95" s="3263"/>
      <c r="U95" s="1443"/>
    </row>
    <row r="96" spans="2:32" ht="15.75" customHeight="1" x14ac:dyDescent="0.4">
      <c r="B96" s="3246" t="s">
        <v>921</v>
      </c>
      <c r="C96" s="3248" t="s">
        <v>938</v>
      </c>
      <c r="D96" s="3273" t="s">
        <v>939</v>
      </c>
      <c r="E96" s="3274"/>
      <c r="F96" s="3274"/>
      <c r="G96" s="3274"/>
      <c r="H96" s="3274"/>
      <c r="I96" s="3274"/>
      <c r="J96" s="3274"/>
      <c r="K96" s="3275"/>
      <c r="L96" s="3276" t="s">
        <v>940</v>
      </c>
      <c r="M96" s="3254" t="s">
        <v>941</v>
      </c>
      <c r="N96" s="3254"/>
      <c r="O96" s="3254"/>
      <c r="P96" s="3254"/>
      <c r="Q96" s="3254"/>
      <c r="R96" s="3254"/>
      <c r="S96" s="3254"/>
      <c r="T96" s="3248" t="s">
        <v>170</v>
      </c>
      <c r="U96" s="3258"/>
    </row>
    <row r="97" spans="2:28" ht="47.25" customHeight="1" thickBot="1" x14ac:dyDescent="0.45">
      <c r="B97" s="3247"/>
      <c r="C97" s="3249"/>
      <c r="D97" s="1557" t="s">
        <v>1013</v>
      </c>
      <c r="E97" s="2333" t="s">
        <v>1014</v>
      </c>
      <c r="F97" s="1558" t="s">
        <v>1015</v>
      </c>
      <c r="G97" s="1558" t="s">
        <v>945</v>
      </c>
      <c r="H97" s="1558" t="s">
        <v>946</v>
      </c>
      <c r="I97" s="1559" t="s">
        <v>947</v>
      </c>
      <c r="J97" s="2336" t="s">
        <v>1016</v>
      </c>
      <c r="K97" s="1560" t="s">
        <v>949</v>
      </c>
      <c r="L97" s="3277"/>
      <c r="M97" s="1496" t="s">
        <v>950</v>
      </c>
      <c r="N97" s="1498" t="s">
        <v>951</v>
      </c>
      <c r="O97" s="1496" t="s">
        <v>952</v>
      </c>
      <c r="P97" s="1496" t="s">
        <v>953</v>
      </c>
      <c r="Q97" s="1496" t="s">
        <v>954</v>
      </c>
      <c r="R97" s="1497" t="s">
        <v>955</v>
      </c>
      <c r="S97" s="1498" t="s">
        <v>956</v>
      </c>
      <c r="T97" s="3249"/>
      <c r="U97" s="3258"/>
      <c r="W97" s="1462"/>
      <c r="X97" s="1463"/>
      <c r="Y97" s="1462"/>
      <c r="Z97" s="1462"/>
      <c r="AA97" s="1462" t="s">
        <v>947</v>
      </c>
      <c r="AB97" s="1462" t="s">
        <v>1017</v>
      </c>
    </row>
    <row r="98" spans="2:28" ht="12.75" customHeight="1" x14ac:dyDescent="0.4">
      <c r="B98" s="3269" t="s">
        <v>102</v>
      </c>
      <c r="C98" s="2504" t="s">
        <v>958</v>
      </c>
      <c r="D98" s="2570">
        <v>70</v>
      </c>
      <c r="E98" s="2570">
        <v>37</v>
      </c>
      <c r="F98" s="2571">
        <v>3</v>
      </c>
      <c r="G98" s="2571">
        <v>7</v>
      </c>
      <c r="H98" s="2571">
        <v>37</v>
      </c>
      <c r="I98" s="2570">
        <v>282</v>
      </c>
      <c r="J98" s="2571">
        <v>107</v>
      </c>
      <c r="K98" s="1551">
        <f t="shared" ref="K98:K139" si="38">SUM(D98:J98)</f>
        <v>543</v>
      </c>
      <c r="L98" s="737" t="s">
        <v>947</v>
      </c>
      <c r="M98" s="1561">
        <v>0</v>
      </c>
      <c r="N98" s="1561">
        <v>21</v>
      </c>
      <c r="O98" s="1561">
        <v>77</v>
      </c>
      <c r="P98" s="729">
        <v>102</v>
      </c>
      <c r="Q98" s="729">
        <v>86</v>
      </c>
      <c r="R98" s="729">
        <v>3</v>
      </c>
      <c r="S98" s="729">
        <v>3</v>
      </c>
      <c r="T98" s="1552">
        <f t="shared" ref="T98:T141" si="39">SUM(M98:S98)</f>
        <v>292</v>
      </c>
      <c r="U98" s="3258">
        <f>+T98+T99</f>
        <v>563</v>
      </c>
      <c r="V98" s="3259">
        <f>+K98+K99</f>
        <v>563</v>
      </c>
      <c r="W98" s="1462"/>
      <c r="X98" s="3266"/>
      <c r="Y98" s="1453">
        <f t="shared" ref="Y98:Y119" si="40">SUM(AA98:AB98)</f>
        <v>1367</v>
      </c>
      <c r="Z98" s="1386" t="s">
        <v>1018</v>
      </c>
      <c r="AA98" s="1464">
        <f>T150</f>
        <v>344</v>
      </c>
      <c r="AB98" s="1464">
        <f>T151</f>
        <v>1023</v>
      </c>
    </row>
    <row r="99" spans="2:28" ht="12.75" customHeight="1" x14ac:dyDescent="0.4">
      <c r="B99" s="3268"/>
      <c r="C99" s="2467" t="s">
        <v>959</v>
      </c>
      <c r="D99" s="2572">
        <v>1</v>
      </c>
      <c r="E99" s="2572">
        <v>9</v>
      </c>
      <c r="F99" s="2573">
        <v>0</v>
      </c>
      <c r="G99" s="2573">
        <v>0</v>
      </c>
      <c r="H99" s="2573">
        <v>0</v>
      </c>
      <c r="I99" s="2572">
        <v>10</v>
      </c>
      <c r="J99" s="2573">
        <v>0</v>
      </c>
      <c r="K99" s="721">
        <f t="shared" si="38"/>
        <v>20</v>
      </c>
      <c r="L99" s="1452" t="s">
        <v>960</v>
      </c>
      <c r="M99" s="722">
        <v>0</v>
      </c>
      <c r="N99" s="722">
        <v>32</v>
      </c>
      <c r="O99" s="722">
        <v>97</v>
      </c>
      <c r="P99" s="730">
        <v>90</v>
      </c>
      <c r="Q99" s="730">
        <v>49</v>
      </c>
      <c r="R99" s="730">
        <v>2</v>
      </c>
      <c r="S99" s="730">
        <v>1</v>
      </c>
      <c r="T99" s="723">
        <f t="shared" si="39"/>
        <v>271</v>
      </c>
      <c r="U99" s="3258"/>
      <c r="V99" s="3259"/>
      <c r="W99" s="1462">
        <f t="shared" ref="W99:W139" si="41">U98-V98</f>
        <v>0</v>
      </c>
      <c r="X99" s="3266"/>
      <c r="Y99" s="1453">
        <f t="shared" si="40"/>
        <v>265</v>
      </c>
      <c r="Z99" s="1386" t="s">
        <v>107</v>
      </c>
      <c r="AA99" s="1464">
        <f>T106</f>
        <v>165</v>
      </c>
      <c r="AB99" s="1464">
        <f>T107</f>
        <v>100</v>
      </c>
    </row>
    <row r="100" spans="2:28" ht="12.75" customHeight="1" x14ac:dyDescent="0.4">
      <c r="B100" s="3267" t="s">
        <v>103</v>
      </c>
      <c r="C100" s="2472" t="s">
        <v>958</v>
      </c>
      <c r="D100" s="2574">
        <v>39</v>
      </c>
      <c r="E100" s="2574">
        <v>10</v>
      </c>
      <c r="F100" s="2575">
        <v>0</v>
      </c>
      <c r="G100" s="2575">
        <v>6</v>
      </c>
      <c r="H100" s="2575">
        <v>2</v>
      </c>
      <c r="I100" s="2574">
        <v>175</v>
      </c>
      <c r="J100" s="2575">
        <v>42</v>
      </c>
      <c r="K100" s="1536">
        <f t="shared" si="38"/>
        <v>274</v>
      </c>
      <c r="L100" s="1518" t="s">
        <v>947</v>
      </c>
      <c r="M100" s="719">
        <v>0</v>
      </c>
      <c r="N100" s="719">
        <v>16</v>
      </c>
      <c r="O100" s="719">
        <v>60</v>
      </c>
      <c r="P100" s="719">
        <v>42</v>
      </c>
      <c r="Q100" s="719">
        <v>58</v>
      </c>
      <c r="R100" s="719">
        <v>2</v>
      </c>
      <c r="S100" s="719">
        <v>0</v>
      </c>
      <c r="T100" s="1519">
        <f t="shared" si="39"/>
        <v>178</v>
      </c>
      <c r="U100" s="3258">
        <f>+T100+T101</f>
        <v>284</v>
      </c>
      <c r="V100" s="3259">
        <f>+K100+K101</f>
        <v>284</v>
      </c>
      <c r="W100" s="1462">
        <f t="shared" si="41"/>
        <v>0</v>
      </c>
      <c r="X100" s="3266"/>
      <c r="Y100" s="1453">
        <f t="shared" si="40"/>
        <v>124</v>
      </c>
      <c r="Z100" s="1386" t="s">
        <v>112</v>
      </c>
      <c r="AA100" s="1464">
        <f>T104</f>
        <v>59</v>
      </c>
      <c r="AB100" s="1464">
        <f>T105</f>
        <v>65</v>
      </c>
    </row>
    <row r="101" spans="2:28" ht="12.75" customHeight="1" x14ac:dyDescent="0.4">
      <c r="B101" s="3265"/>
      <c r="C101" s="2475" t="s">
        <v>959</v>
      </c>
      <c r="D101" s="2576">
        <v>2</v>
      </c>
      <c r="E101" s="2576">
        <v>2</v>
      </c>
      <c r="F101" s="2577">
        <v>0</v>
      </c>
      <c r="G101" s="2577">
        <v>3</v>
      </c>
      <c r="H101" s="2577">
        <v>0</v>
      </c>
      <c r="I101" s="2576">
        <v>3</v>
      </c>
      <c r="J101" s="2577">
        <v>0</v>
      </c>
      <c r="K101" s="725">
        <f t="shared" si="38"/>
        <v>10</v>
      </c>
      <c r="L101" s="726" t="s">
        <v>960</v>
      </c>
      <c r="M101" s="720">
        <v>1</v>
      </c>
      <c r="N101" s="720">
        <v>15</v>
      </c>
      <c r="O101" s="720">
        <v>34</v>
      </c>
      <c r="P101" s="720">
        <v>29</v>
      </c>
      <c r="Q101" s="720">
        <v>26</v>
      </c>
      <c r="R101" s="720">
        <v>1</v>
      </c>
      <c r="S101" s="720">
        <v>0</v>
      </c>
      <c r="T101" s="1524">
        <f t="shared" si="39"/>
        <v>106</v>
      </c>
      <c r="U101" s="3258"/>
      <c r="V101" s="3259"/>
      <c r="W101" s="1462">
        <f t="shared" si="41"/>
        <v>0</v>
      </c>
      <c r="X101" s="3266"/>
      <c r="Y101" s="1453">
        <f t="shared" si="40"/>
        <v>284</v>
      </c>
      <c r="Z101" s="1386" t="s">
        <v>198</v>
      </c>
      <c r="AA101" s="1464">
        <f>T100</f>
        <v>178</v>
      </c>
      <c r="AB101" s="1464">
        <f>T101</f>
        <v>106</v>
      </c>
    </row>
    <row r="102" spans="2:28" ht="12.75" customHeight="1" x14ac:dyDescent="0.4">
      <c r="B102" s="3267" t="s">
        <v>111</v>
      </c>
      <c r="C102" s="2472" t="s">
        <v>958</v>
      </c>
      <c r="D102" s="2578">
        <v>14</v>
      </c>
      <c r="E102" s="2578">
        <v>14</v>
      </c>
      <c r="F102" s="2579">
        <v>0</v>
      </c>
      <c r="G102" s="2579">
        <v>12</v>
      </c>
      <c r="H102" s="2579">
        <v>15</v>
      </c>
      <c r="I102" s="2578">
        <v>125</v>
      </c>
      <c r="J102" s="2579">
        <v>25</v>
      </c>
      <c r="K102" s="721">
        <f t="shared" si="38"/>
        <v>205</v>
      </c>
      <c r="L102" s="1518" t="s">
        <v>947</v>
      </c>
      <c r="M102" s="730">
        <v>0</v>
      </c>
      <c r="N102" s="730">
        <v>16</v>
      </c>
      <c r="O102" s="730">
        <v>48</v>
      </c>
      <c r="P102" s="730">
        <v>37</v>
      </c>
      <c r="Q102" s="730">
        <v>31</v>
      </c>
      <c r="R102" s="730">
        <v>2</v>
      </c>
      <c r="S102" s="730">
        <v>0</v>
      </c>
      <c r="T102" s="1519">
        <f t="shared" si="39"/>
        <v>134</v>
      </c>
      <c r="U102" s="3258">
        <f>+T102+T103</f>
        <v>217</v>
      </c>
      <c r="V102" s="3259">
        <f>+K102+K103</f>
        <v>217</v>
      </c>
      <c r="W102" s="1462">
        <f t="shared" si="41"/>
        <v>0</v>
      </c>
      <c r="X102" s="2331"/>
      <c r="Y102" s="1453">
        <f t="shared" si="40"/>
        <v>217</v>
      </c>
      <c r="Z102" s="1386" t="s">
        <v>111</v>
      </c>
      <c r="AA102" s="1464">
        <f>T102</f>
        <v>134</v>
      </c>
      <c r="AB102" s="1464">
        <f>T103</f>
        <v>83</v>
      </c>
    </row>
    <row r="103" spans="2:28" ht="12.75" customHeight="1" x14ac:dyDescent="0.4">
      <c r="B103" s="3268"/>
      <c r="C103" s="2475" t="s">
        <v>959</v>
      </c>
      <c r="D103" s="2580">
        <v>0</v>
      </c>
      <c r="E103" s="2580">
        <v>3</v>
      </c>
      <c r="F103" s="2581">
        <v>0</v>
      </c>
      <c r="G103" s="2581">
        <v>0</v>
      </c>
      <c r="H103" s="2581">
        <v>0</v>
      </c>
      <c r="I103" s="2580">
        <v>9</v>
      </c>
      <c r="J103" s="2581">
        <v>0</v>
      </c>
      <c r="K103" s="721">
        <f t="shared" si="38"/>
        <v>12</v>
      </c>
      <c r="L103" s="726" t="s">
        <v>960</v>
      </c>
      <c r="M103" s="730">
        <v>0</v>
      </c>
      <c r="N103" s="730">
        <v>18</v>
      </c>
      <c r="O103" s="730">
        <v>24</v>
      </c>
      <c r="P103" s="730">
        <v>16</v>
      </c>
      <c r="Q103" s="730">
        <v>23</v>
      </c>
      <c r="R103" s="730">
        <v>2</v>
      </c>
      <c r="S103" s="730">
        <v>0</v>
      </c>
      <c r="T103" s="1524">
        <f t="shared" si="39"/>
        <v>83</v>
      </c>
      <c r="U103" s="3258"/>
      <c r="V103" s="3259"/>
      <c r="W103" s="1462">
        <f t="shared" si="41"/>
        <v>0</v>
      </c>
      <c r="X103" s="2331"/>
      <c r="Y103" s="1453">
        <f t="shared" si="40"/>
        <v>563</v>
      </c>
      <c r="Z103" s="1386" t="s">
        <v>102</v>
      </c>
      <c r="AA103" s="1464">
        <f>+T98</f>
        <v>292</v>
      </c>
      <c r="AB103" s="1464">
        <f>+T99</f>
        <v>271</v>
      </c>
    </row>
    <row r="104" spans="2:28" ht="12.75" customHeight="1" x14ac:dyDescent="0.4">
      <c r="B104" s="3267" t="s">
        <v>112</v>
      </c>
      <c r="C104" s="2472" t="s">
        <v>958</v>
      </c>
      <c r="D104" s="2582">
        <v>15</v>
      </c>
      <c r="E104" s="2582">
        <v>9</v>
      </c>
      <c r="F104" s="2583">
        <v>0</v>
      </c>
      <c r="G104" s="2583">
        <v>3</v>
      </c>
      <c r="H104" s="2583">
        <v>6</v>
      </c>
      <c r="I104" s="2582">
        <v>58</v>
      </c>
      <c r="J104" s="2583">
        <v>30</v>
      </c>
      <c r="K104" s="1536">
        <f t="shared" si="38"/>
        <v>121</v>
      </c>
      <c r="L104" s="1518" t="s">
        <v>947</v>
      </c>
      <c r="M104" s="1562">
        <v>0</v>
      </c>
      <c r="N104" s="1562">
        <v>9</v>
      </c>
      <c r="O104" s="1562">
        <v>24</v>
      </c>
      <c r="P104" s="1562">
        <v>14</v>
      </c>
      <c r="Q104" s="1562">
        <v>12</v>
      </c>
      <c r="R104" s="1562">
        <v>0</v>
      </c>
      <c r="S104" s="1562">
        <v>0</v>
      </c>
      <c r="T104" s="1519">
        <f t="shared" si="39"/>
        <v>59</v>
      </c>
      <c r="U104" s="3258">
        <f>+T104+T105</f>
        <v>124</v>
      </c>
      <c r="V104" s="3259">
        <f>+K104+K105</f>
        <v>124</v>
      </c>
      <c r="W104" s="1462">
        <f t="shared" si="41"/>
        <v>0</v>
      </c>
      <c r="X104" s="3266"/>
      <c r="Y104" s="1453">
        <f t="shared" si="40"/>
        <v>350</v>
      </c>
      <c r="Z104" s="1386" t="s">
        <v>199</v>
      </c>
      <c r="AA104" s="1464">
        <f>+T118</f>
        <v>182</v>
      </c>
      <c r="AB104" s="1464">
        <f>+T119</f>
        <v>168</v>
      </c>
    </row>
    <row r="105" spans="2:28" ht="12.75" customHeight="1" x14ac:dyDescent="0.4">
      <c r="B105" s="3265"/>
      <c r="C105" s="2475" t="s">
        <v>959</v>
      </c>
      <c r="D105" s="2584">
        <v>1</v>
      </c>
      <c r="E105" s="2584">
        <v>1</v>
      </c>
      <c r="F105" s="2585">
        <v>0</v>
      </c>
      <c r="G105" s="2585">
        <v>0</v>
      </c>
      <c r="H105" s="2585">
        <v>0</v>
      </c>
      <c r="I105" s="2584">
        <v>1</v>
      </c>
      <c r="J105" s="2585">
        <v>0</v>
      </c>
      <c r="K105" s="725">
        <f t="shared" si="38"/>
        <v>3</v>
      </c>
      <c r="L105" s="726" t="s">
        <v>960</v>
      </c>
      <c r="M105" s="1563">
        <v>0</v>
      </c>
      <c r="N105" s="1563">
        <v>10</v>
      </c>
      <c r="O105" s="1563">
        <v>19</v>
      </c>
      <c r="P105" s="1563">
        <v>20</v>
      </c>
      <c r="Q105" s="1563">
        <v>16</v>
      </c>
      <c r="R105" s="1563">
        <v>0</v>
      </c>
      <c r="S105" s="1563">
        <v>0</v>
      </c>
      <c r="T105" s="1524">
        <f t="shared" si="39"/>
        <v>65</v>
      </c>
      <c r="U105" s="3258"/>
      <c r="V105" s="3259"/>
      <c r="W105" s="1462">
        <f t="shared" si="41"/>
        <v>0</v>
      </c>
      <c r="X105" s="3266"/>
      <c r="Y105" s="1453">
        <f t="shared" si="40"/>
        <v>341</v>
      </c>
      <c r="Z105" s="1386" t="s">
        <v>98</v>
      </c>
      <c r="AA105" s="1464">
        <f>+T108</f>
        <v>220</v>
      </c>
      <c r="AB105" s="1464">
        <f>+T109</f>
        <v>121</v>
      </c>
    </row>
    <row r="106" spans="2:28" ht="12.75" customHeight="1" x14ac:dyDescent="0.4">
      <c r="B106" s="3267" t="s">
        <v>107</v>
      </c>
      <c r="C106" s="2472" t="s">
        <v>958</v>
      </c>
      <c r="D106" s="2586">
        <v>22</v>
      </c>
      <c r="E106" s="2586">
        <v>11</v>
      </c>
      <c r="F106" s="2587">
        <v>0</v>
      </c>
      <c r="G106" s="2587">
        <v>6</v>
      </c>
      <c r="H106" s="2587">
        <v>25</v>
      </c>
      <c r="I106" s="2586">
        <v>157</v>
      </c>
      <c r="J106" s="2587">
        <v>32</v>
      </c>
      <c r="K106" s="1536">
        <f t="shared" si="38"/>
        <v>253</v>
      </c>
      <c r="L106" s="1518" t="s">
        <v>947</v>
      </c>
      <c r="M106" s="719">
        <v>0</v>
      </c>
      <c r="N106" s="719">
        <v>14</v>
      </c>
      <c r="O106" s="719">
        <v>38</v>
      </c>
      <c r="P106" s="719">
        <v>50</v>
      </c>
      <c r="Q106" s="719">
        <v>50</v>
      </c>
      <c r="R106" s="719">
        <v>12</v>
      </c>
      <c r="S106" s="719">
        <v>1</v>
      </c>
      <c r="T106" s="1519">
        <f t="shared" si="39"/>
        <v>165</v>
      </c>
      <c r="U106" s="3258">
        <f>+T106+T107</f>
        <v>265</v>
      </c>
      <c r="V106" s="3259">
        <f>+K106+K107</f>
        <v>265</v>
      </c>
      <c r="W106" s="1462">
        <f t="shared" si="41"/>
        <v>0</v>
      </c>
      <c r="X106" s="3266"/>
      <c r="Y106" s="1453">
        <f t="shared" si="40"/>
        <v>672</v>
      </c>
      <c r="Z106" s="1386" t="s">
        <v>99</v>
      </c>
      <c r="AA106" s="1464">
        <f>+T112</f>
        <v>448</v>
      </c>
      <c r="AB106" s="1464">
        <f>+T113</f>
        <v>224</v>
      </c>
    </row>
    <row r="107" spans="2:28" ht="12.75" customHeight="1" x14ac:dyDescent="0.4">
      <c r="B107" s="3265"/>
      <c r="C107" s="2475" t="s">
        <v>959</v>
      </c>
      <c r="D107" s="2588">
        <v>1</v>
      </c>
      <c r="E107" s="2588">
        <v>3</v>
      </c>
      <c r="F107" s="2589">
        <v>0</v>
      </c>
      <c r="G107" s="2589">
        <v>0</v>
      </c>
      <c r="H107" s="2589">
        <v>0</v>
      </c>
      <c r="I107" s="2588">
        <v>8</v>
      </c>
      <c r="J107" s="2589">
        <v>0</v>
      </c>
      <c r="K107" s="725">
        <f t="shared" si="38"/>
        <v>12</v>
      </c>
      <c r="L107" s="726" t="s">
        <v>960</v>
      </c>
      <c r="M107" s="720">
        <v>0</v>
      </c>
      <c r="N107" s="720">
        <v>13</v>
      </c>
      <c r="O107" s="720">
        <v>20</v>
      </c>
      <c r="P107" s="720">
        <v>20</v>
      </c>
      <c r="Q107" s="720">
        <v>43</v>
      </c>
      <c r="R107" s="720">
        <v>3</v>
      </c>
      <c r="S107" s="720">
        <v>1</v>
      </c>
      <c r="T107" s="1524">
        <f t="shared" si="39"/>
        <v>100</v>
      </c>
      <c r="U107" s="3258"/>
      <c r="V107" s="3259"/>
      <c r="W107" s="1462">
        <f t="shared" si="41"/>
        <v>0</v>
      </c>
      <c r="X107" s="3266"/>
      <c r="Y107" s="1453">
        <f t="shared" si="40"/>
        <v>171</v>
      </c>
      <c r="Z107" s="1386" t="s">
        <v>110</v>
      </c>
      <c r="AA107" s="1464">
        <f>+T114</f>
        <v>105</v>
      </c>
      <c r="AB107" s="1464">
        <f>+T115</f>
        <v>66</v>
      </c>
    </row>
    <row r="108" spans="2:28" ht="12.75" customHeight="1" x14ac:dyDescent="0.4">
      <c r="B108" s="3268" t="s">
        <v>589</v>
      </c>
      <c r="C108" s="2467" t="s">
        <v>958</v>
      </c>
      <c r="D108" s="2590">
        <v>38</v>
      </c>
      <c r="E108" s="2590">
        <v>23</v>
      </c>
      <c r="F108" s="2591">
        <v>0</v>
      </c>
      <c r="G108" s="2591">
        <v>8</v>
      </c>
      <c r="H108" s="2591">
        <v>32</v>
      </c>
      <c r="I108" s="2590">
        <v>211</v>
      </c>
      <c r="J108" s="2591">
        <v>9</v>
      </c>
      <c r="K108" s="721">
        <f t="shared" si="38"/>
        <v>321</v>
      </c>
      <c r="L108" s="1452" t="s">
        <v>947</v>
      </c>
      <c r="M108" s="730">
        <v>0</v>
      </c>
      <c r="N108" s="730">
        <v>22</v>
      </c>
      <c r="O108" s="730">
        <v>71</v>
      </c>
      <c r="P108" s="730">
        <v>80</v>
      </c>
      <c r="Q108" s="730">
        <v>38</v>
      </c>
      <c r="R108" s="730">
        <v>7</v>
      </c>
      <c r="S108" s="730">
        <v>2</v>
      </c>
      <c r="T108" s="723">
        <f t="shared" si="39"/>
        <v>220</v>
      </c>
      <c r="U108" s="3258">
        <f>+T108+T109</f>
        <v>341</v>
      </c>
      <c r="V108" s="3259">
        <f>+K108+K109</f>
        <v>341</v>
      </c>
      <c r="W108" s="1462">
        <f t="shared" si="41"/>
        <v>0</v>
      </c>
      <c r="X108" s="3266"/>
      <c r="Y108" s="1453">
        <f t="shared" si="40"/>
        <v>342</v>
      </c>
      <c r="Z108" s="1386" t="s">
        <v>201</v>
      </c>
      <c r="AA108" s="1464">
        <f>+T116</f>
        <v>197</v>
      </c>
      <c r="AB108" s="1464">
        <f>+T117</f>
        <v>145</v>
      </c>
    </row>
    <row r="109" spans="2:28" ht="12.75" customHeight="1" x14ac:dyDescent="0.4">
      <c r="B109" s="3268"/>
      <c r="C109" s="2467" t="s">
        <v>959</v>
      </c>
      <c r="D109" s="2592">
        <v>4</v>
      </c>
      <c r="E109" s="2592">
        <v>6</v>
      </c>
      <c r="F109" s="2593">
        <v>0</v>
      </c>
      <c r="G109" s="2593">
        <v>1</v>
      </c>
      <c r="H109" s="2593">
        <v>0</v>
      </c>
      <c r="I109" s="2592">
        <v>9</v>
      </c>
      <c r="J109" s="2593">
        <v>0</v>
      </c>
      <c r="K109" s="721">
        <f t="shared" si="38"/>
        <v>20</v>
      </c>
      <c r="L109" s="1452" t="s">
        <v>960</v>
      </c>
      <c r="M109" s="730">
        <v>1</v>
      </c>
      <c r="N109" s="730">
        <v>28</v>
      </c>
      <c r="O109" s="730">
        <v>36</v>
      </c>
      <c r="P109" s="730">
        <v>33</v>
      </c>
      <c r="Q109" s="730">
        <v>19</v>
      </c>
      <c r="R109" s="730">
        <v>4</v>
      </c>
      <c r="S109" s="730">
        <v>0</v>
      </c>
      <c r="T109" s="723">
        <f t="shared" si="39"/>
        <v>121</v>
      </c>
      <c r="U109" s="3258"/>
      <c r="V109" s="3259"/>
      <c r="W109" s="1462">
        <f t="shared" si="41"/>
        <v>0</v>
      </c>
      <c r="X109" s="3266"/>
      <c r="Y109" s="1453">
        <f t="shared" si="40"/>
        <v>324</v>
      </c>
      <c r="Z109" s="1386" t="s">
        <v>97</v>
      </c>
      <c r="AA109" s="1464">
        <f>+T122</f>
        <v>191</v>
      </c>
      <c r="AB109" s="1464">
        <f>+T123</f>
        <v>133</v>
      </c>
    </row>
    <row r="110" spans="2:28" ht="12.75" customHeight="1" x14ac:dyDescent="0.4">
      <c r="B110" s="3267" t="s">
        <v>590</v>
      </c>
      <c r="C110" s="2472" t="s">
        <v>958</v>
      </c>
      <c r="D110" s="2594">
        <v>15</v>
      </c>
      <c r="E110" s="2594">
        <v>7</v>
      </c>
      <c r="F110" s="2595">
        <v>0</v>
      </c>
      <c r="G110" s="2595">
        <v>4</v>
      </c>
      <c r="H110" s="2595">
        <v>3</v>
      </c>
      <c r="I110" s="2594">
        <v>69</v>
      </c>
      <c r="J110" s="2595">
        <v>4</v>
      </c>
      <c r="K110" s="1536">
        <f t="shared" si="38"/>
        <v>102</v>
      </c>
      <c r="L110" s="1518" t="s">
        <v>947</v>
      </c>
      <c r="M110" s="719">
        <v>0</v>
      </c>
      <c r="N110" s="719">
        <v>13</v>
      </c>
      <c r="O110" s="719">
        <v>24</v>
      </c>
      <c r="P110" s="719">
        <v>23</v>
      </c>
      <c r="Q110" s="719">
        <v>13</v>
      </c>
      <c r="R110" s="719">
        <v>0</v>
      </c>
      <c r="S110" s="719">
        <v>0</v>
      </c>
      <c r="T110" s="1519">
        <f t="shared" si="39"/>
        <v>73</v>
      </c>
      <c r="U110" s="3258">
        <f>+T110+T111</f>
        <v>110</v>
      </c>
      <c r="V110" s="3259">
        <f>+K110+K111</f>
        <v>110</v>
      </c>
      <c r="W110" s="1462">
        <f t="shared" si="41"/>
        <v>0</v>
      </c>
      <c r="X110" s="2331"/>
      <c r="Y110" s="1453">
        <f t="shared" si="40"/>
        <v>110</v>
      </c>
      <c r="Z110" s="1386" t="s">
        <v>114</v>
      </c>
      <c r="AA110" s="1464">
        <f>T110</f>
        <v>73</v>
      </c>
      <c r="AB110" s="1464">
        <f>T111</f>
        <v>37</v>
      </c>
    </row>
    <row r="111" spans="2:28" ht="12.75" customHeight="1" x14ac:dyDescent="0.4">
      <c r="B111" s="3265"/>
      <c r="C111" s="2475" t="s">
        <v>959</v>
      </c>
      <c r="D111" s="2596">
        <v>0</v>
      </c>
      <c r="E111" s="2596">
        <v>3</v>
      </c>
      <c r="F111" s="2597">
        <v>1</v>
      </c>
      <c r="G111" s="2597">
        <v>0</v>
      </c>
      <c r="H111" s="2597">
        <v>0</v>
      </c>
      <c r="I111" s="2596">
        <v>4</v>
      </c>
      <c r="J111" s="2597">
        <v>0</v>
      </c>
      <c r="K111" s="725">
        <f t="shared" si="38"/>
        <v>8</v>
      </c>
      <c r="L111" s="726" t="s">
        <v>960</v>
      </c>
      <c r="M111" s="720">
        <v>0</v>
      </c>
      <c r="N111" s="720">
        <v>14</v>
      </c>
      <c r="O111" s="720">
        <v>8</v>
      </c>
      <c r="P111" s="720">
        <v>8</v>
      </c>
      <c r="Q111" s="720">
        <v>7</v>
      </c>
      <c r="R111" s="720">
        <v>0</v>
      </c>
      <c r="S111" s="720">
        <v>0</v>
      </c>
      <c r="T111" s="1524">
        <f t="shared" si="39"/>
        <v>37</v>
      </c>
      <c r="U111" s="3258"/>
      <c r="V111" s="3259"/>
      <c r="W111" s="1462">
        <f t="shared" si="41"/>
        <v>0</v>
      </c>
      <c r="X111" s="2331"/>
      <c r="Y111" s="1453">
        <f t="shared" si="40"/>
        <v>149</v>
      </c>
      <c r="Z111" s="1465" t="s">
        <v>936</v>
      </c>
      <c r="AA111" s="1464">
        <f>T130</f>
        <v>82</v>
      </c>
      <c r="AB111" s="1464">
        <f>T131</f>
        <v>67</v>
      </c>
    </row>
    <row r="112" spans="2:28" ht="12.75" customHeight="1" x14ac:dyDescent="0.4">
      <c r="B112" s="3267" t="s">
        <v>99</v>
      </c>
      <c r="C112" s="2472" t="s">
        <v>958</v>
      </c>
      <c r="D112" s="2598">
        <v>32</v>
      </c>
      <c r="E112" s="2598">
        <v>34</v>
      </c>
      <c r="F112" s="2599">
        <v>0</v>
      </c>
      <c r="G112" s="2599">
        <v>15</v>
      </c>
      <c r="H112" s="2599">
        <v>67</v>
      </c>
      <c r="I112" s="2598">
        <v>444</v>
      </c>
      <c r="J112" s="2599">
        <v>62</v>
      </c>
      <c r="K112" s="1536">
        <f>SUM(D112:J112)</f>
        <v>654</v>
      </c>
      <c r="L112" s="1518" t="s">
        <v>947</v>
      </c>
      <c r="M112" s="719">
        <v>1</v>
      </c>
      <c r="N112" s="719">
        <v>21</v>
      </c>
      <c r="O112" s="719">
        <v>143</v>
      </c>
      <c r="P112" s="719">
        <v>143</v>
      </c>
      <c r="Q112" s="719">
        <v>133</v>
      </c>
      <c r="R112" s="719">
        <v>7</v>
      </c>
      <c r="S112" s="719">
        <v>0</v>
      </c>
      <c r="T112" s="1519">
        <f t="shared" si="39"/>
        <v>448</v>
      </c>
      <c r="U112" s="3258">
        <f>+T112+T113</f>
        <v>672</v>
      </c>
      <c r="V112" s="3259">
        <f>+K112+K113</f>
        <v>672</v>
      </c>
      <c r="W112" s="1462">
        <f t="shared" si="41"/>
        <v>0</v>
      </c>
      <c r="X112" s="3266"/>
      <c r="Y112" s="1453">
        <f t="shared" si="40"/>
        <v>419</v>
      </c>
      <c r="Z112" s="1386" t="s">
        <v>1019</v>
      </c>
      <c r="AA112" s="1464">
        <f>+T124</f>
        <v>198</v>
      </c>
      <c r="AB112" s="1464">
        <f>+T125</f>
        <v>221</v>
      </c>
    </row>
    <row r="113" spans="1:28" ht="12.75" customHeight="1" x14ac:dyDescent="0.4">
      <c r="B113" s="3265"/>
      <c r="C113" s="2475" t="s">
        <v>959</v>
      </c>
      <c r="D113" s="2600">
        <v>1</v>
      </c>
      <c r="E113" s="2600">
        <v>12</v>
      </c>
      <c r="F113" s="2601">
        <v>0</v>
      </c>
      <c r="G113" s="2601">
        <v>0</v>
      </c>
      <c r="H113" s="2601">
        <v>1</v>
      </c>
      <c r="I113" s="2600">
        <v>4</v>
      </c>
      <c r="J113" s="2601">
        <v>0</v>
      </c>
      <c r="K113" s="725">
        <f t="shared" si="38"/>
        <v>18</v>
      </c>
      <c r="L113" s="726" t="s">
        <v>960</v>
      </c>
      <c r="M113" s="720">
        <v>1</v>
      </c>
      <c r="N113" s="720">
        <v>42</v>
      </c>
      <c r="O113" s="720">
        <v>51</v>
      </c>
      <c r="P113" s="720">
        <v>73</v>
      </c>
      <c r="Q113" s="720">
        <v>53</v>
      </c>
      <c r="R113" s="720">
        <v>2</v>
      </c>
      <c r="S113" s="720">
        <v>2</v>
      </c>
      <c r="T113" s="1524">
        <f t="shared" si="39"/>
        <v>224</v>
      </c>
      <c r="U113" s="3258"/>
      <c r="V113" s="3259"/>
      <c r="W113" s="1462">
        <f t="shared" si="41"/>
        <v>0</v>
      </c>
      <c r="X113" s="3266"/>
      <c r="Y113" s="1453">
        <f t="shared" si="40"/>
        <v>412</v>
      </c>
      <c r="Z113" s="1386" t="s">
        <v>933</v>
      </c>
      <c r="AA113" s="1464">
        <f>+T126</f>
        <v>246</v>
      </c>
      <c r="AB113" s="1464">
        <f>+T127</f>
        <v>166</v>
      </c>
    </row>
    <row r="114" spans="1:28" ht="12.75" customHeight="1" x14ac:dyDescent="0.4">
      <c r="A114" s="3240">
        <v>88</v>
      </c>
      <c r="B114" s="3267" t="s">
        <v>110</v>
      </c>
      <c r="C114" s="2472" t="s">
        <v>958</v>
      </c>
      <c r="D114" s="2602">
        <v>38</v>
      </c>
      <c r="E114" s="2602">
        <v>9</v>
      </c>
      <c r="F114" s="2603">
        <v>0</v>
      </c>
      <c r="G114" s="2603">
        <v>5</v>
      </c>
      <c r="H114" s="2603">
        <v>9</v>
      </c>
      <c r="I114" s="2602">
        <v>102</v>
      </c>
      <c r="J114" s="2603">
        <v>2</v>
      </c>
      <c r="K114" s="1536">
        <f t="shared" si="38"/>
        <v>165</v>
      </c>
      <c r="L114" s="1518" t="s">
        <v>947</v>
      </c>
      <c r="M114" s="719">
        <v>0</v>
      </c>
      <c r="N114" s="719">
        <v>13</v>
      </c>
      <c r="O114" s="719">
        <v>42</v>
      </c>
      <c r="P114" s="719">
        <v>29</v>
      </c>
      <c r="Q114" s="719">
        <v>20</v>
      </c>
      <c r="R114" s="719">
        <v>1</v>
      </c>
      <c r="S114" s="719">
        <v>0</v>
      </c>
      <c r="T114" s="1519">
        <f t="shared" si="39"/>
        <v>105</v>
      </c>
      <c r="U114" s="3258">
        <f>+T114+T115</f>
        <v>171</v>
      </c>
      <c r="V114" s="3259">
        <f>+K114+K115</f>
        <v>171</v>
      </c>
      <c r="W114" s="1462">
        <f t="shared" si="41"/>
        <v>0</v>
      </c>
      <c r="X114" s="3266"/>
      <c r="Y114" s="1453">
        <f t="shared" si="40"/>
        <v>227</v>
      </c>
      <c r="Z114" s="1386" t="s">
        <v>96</v>
      </c>
      <c r="AA114" s="1464">
        <f>+T134</f>
        <v>79</v>
      </c>
      <c r="AB114" s="1464">
        <f>+T135</f>
        <v>148</v>
      </c>
    </row>
    <row r="115" spans="1:28" ht="12.75" customHeight="1" x14ac:dyDescent="0.4">
      <c r="A115" s="3240"/>
      <c r="B115" s="3265"/>
      <c r="C115" s="2475" t="s">
        <v>959</v>
      </c>
      <c r="D115" s="2604">
        <v>0</v>
      </c>
      <c r="E115" s="2604">
        <v>2</v>
      </c>
      <c r="F115" s="2605">
        <v>0</v>
      </c>
      <c r="G115" s="2605">
        <v>1</v>
      </c>
      <c r="H115" s="2605">
        <v>0</v>
      </c>
      <c r="I115" s="2604">
        <v>3</v>
      </c>
      <c r="J115" s="2605">
        <v>0</v>
      </c>
      <c r="K115" s="725">
        <f t="shared" si="38"/>
        <v>6</v>
      </c>
      <c r="L115" s="726" t="s">
        <v>960</v>
      </c>
      <c r="M115" s="720">
        <v>0</v>
      </c>
      <c r="N115" s="720">
        <v>10</v>
      </c>
      <c r="O115" s="720">
        <v>34</v>
      </c>
      <c r="P115" s="720">
        <v>15</v>
      </c>
      <c r="Q115" s="720">
        <v>7</v>
      </c>
      <c r="R115" s="720">
        <v>0</v>
      </c>
      <c r="S115" s="720">
        <v>0</v>
      </c>
      <c r="T115" s="1524">
        <f t="shared" si="39"/>
        <v>66</v>
      </c>
      <c r="U115" s="3258"/>
      <c r="V115" s="3259"/>
      <c r="W115" s="1462">
        <f t="shared" si="41"/>
        <v>0</v>
      </c>
      <c r="X115" s="3266"/>
      <c r="Y115" s="1453">
        <f t="shared" si="40"/>
        <v>131</v>
      </c>
      <c r="Z115" s="1386" t="s">
        <v>212</v>
      </c>
      <c r="AA115" s="1464">
        <f>+T138</f>
        <v>64</v>
      </c>
      <c r="AB115" s="1464">
        <f>+T139</f>
        <v>67</v>
      </c>
    </row>
    <row r="116" spans="1:28" ht="12.75" customHeight="1" x14ac:dyDescent="0.4">
      <c r="B116" s="3268" t="s">
        <v>94</v>
      </c>
      <c r="C116" s="2467" t="s">
        <v>958</v>
      </c>
      <c r="D116" s="2606">
        <v>34</v>
      </c>
      <c r="E116" s="2606">
        <v>32</v>
      </c>
      <c r="F116" s="2607">
        <v>0</v>
      </c>
      <c r="G116" s="2607">
        <v>8</v>
      </c>
      <c r="H116" s="2607">
        <v>18</v>
      </c>
      <c r="I116" s="2606">
        <v>194</v>
      </c>
      <c r="J116" s="2607">
        <v>51</v>
      </c>
      <c r="K116" s="721">
        <f t="shared" si="38"/>
        <v>337</v>
      </c>
      <c r="L116" s="1452" t="s">
        <v>947</v>
      </c>
      <c r="M116" s="730">
        <v>0</v>
      </c>
      <c r="N116" s="730">
        <v>17</v>
      </c>
      <c r="O116" s="730">
        <v>74</v>
      </c>
      <c r="P116" s="730">
        <v>54</v>
      </c>
      <c r="Q116" s="730">
        <v>48</v>
      </c>
      <c r="R116" s="730">
        <v>1</v>
      </c>
      <c r="S116" s="730">
        <v>3</v>
      </c>
      <c r="T116" s="723">
        <f t="shared" si="39"/>
        <v>197</v>
      </c>
      <c r="U116" s="3258">
        <f>+T116+T117</f>
        <v>342</v>
      </c>
      <c r="V116" s="3259">
        <f>+K116+K117</f>
        <v>342</v>
      </c>
      <c r="W116" s="1462">
        <f t="shared" si="41"/>
        <v>0</v>
      </c>
      <c r="X116" s="3266"/>
      <c r="Y116" s="1453">
        <f t="shared" si="40"/>
        <v>125</v>
      </c>
      <c r="Z116" s="1386" t="s">
        <v>104</v>
      </c>
      <c r="AA116" s="1464">
        <f>+T132</f>
        <v>64</v>
      </c>
      <c r="AB116" s="1464">
        <f>+T133</f>
        <v>61</v>
      </c>
    </row>
    <row r="117" spans="1:28" ht="12.75" customHeight="1" x14ac:dyDescent="0.4">
      <c r="B117" s="3268"/>
      <c r="C117" s="2467" t="s">
        <v>959</v>
      </c>
      <c r="D117" s="2608">
        <v>2</v>
      </c>
      <c r="E117" s="2608">
        <v>0</v>
      </c>
      <c r="F117" s="2609">
        <v>0</v>
      </c>
      <c r="G117" s="2609">
        <v>0</v>
      </c>
      <c r="H117" s="2609">
        <v>0</v>
      </c>
      <c r="I117" s="2608">
        <v>3</v>
      </c>
      <c r="J117" s="2609">
        <v>0</v>
      </c>
      <c r="K117" s="721">
        <f t="shared" si="38"/>
        <v>5</v>
      </c>
      <c r="L117" s="1452" t="s">
        <v>960</v>
      </c>
      <c r="M117" s="730">
        <v>2</v>
      </c>
      <c r="N117" s="730">
        <v>34</v>
      </c>
      <c r="O117" s="730">
        <v>47</v>
      </c>
      <c r="P117" s="730">
        <v>28</v>
      </c>
      <c r="Q117" s="730">
        <v>34</v>
      </c>
      <c r="R117" s="730">
        <v>0</v>
      </c>
      <c r="S117" s="730">
        <v>0</v>
      </c>
      <c r="T117" s="723">
        <f t="shared" si="39"/>
        <v>145</v>
      </c>
      <c r="U117" s="3258"/>
      <c r="V117" s="3259"/>
      <c r="W117" s="1462">
        <f t="shared" si="41"/>
        <v>0</v>
      </c>
      <c r="X117" s="3266"/>
      <c r="Y117" s="1453">
        <f t="shared" si="40"/>
        <v>75</v>
      </c>
      <c r="Z117" s="1386" t="s">
        <v>106</v>
      </c>
      <c r="AA117" s="1464">
        <f>+T128</f>
        <v>28</v>
      </c>
      <c r="AB117" s="1464">
        <f>+T129</f>
        <v>47</v>
      </c>
    </row>
    <row r="118" spans="1:28" ht="12.75" customHeight="1" x14ac:dyDescent="0.4">
      <c r="B118" s="3267" t="s">
        <v>100</v>
      </c>
      <c r="C118" s="2472" t="s">
        <v>958</v>
      </c>
      <c r="D118" s="2606">
        <v>38</v>
      </c>
      <c r="E118" s="2606">
        <v>20</v>
      </c>
      <c r="F118" s="2607">
        <v>1</v>
      </c>
      <c r="G118" s="2607">
        <v>8</v>
      </c>
      <c r="H118" s="2607">
        <v>11</v>
      </c>
      <c r="I118" s="2606">
        <v>177</v>
      </c>
      <c r="J118" s="2607">
        <v>87</v>
      </c>
      <c r="K118" s="1536">
        <f t="shared" si="38"/>
        <v>342</v>
      </c>
      <c r="L118" s="1518" t="s">
        <v>947</v>
      </c>
      <c r="M118" s="719">
        <v>1</v>
      </c>
      <c r="N118" s="719">
        <v>15</v>
      </c>
      <c r="O118" s="719">
        <v>73</v>
      </c>
      <c r="P118" s="719">
        <v>57</v>
      </c>
      <c r="Q118" s="719">
        <v>36</v>
      </c>
      <c r="R118" s="719">
        <v>0</v>
      </c>
      <c r="S118" s="719">
        <v>0</v>
      </c>
      <c r="T118" s="1519">
        <f t="shared" si="39"/>
        <v>182</v>
      </c>
      <c r="U118" s="3258">
        <f>+T118+T119</f>
        <v>350</v>
      </c>
      <c r="V118" s="3259">
        <f>+K118+K119</f>
        <v>350</v>
      </c>
      <c r="W118" s="1462">
        <f t="shared" si="41"/>
        <v>0</v>
      </c>
      <c r="X118" s="3266"/>
      <c r="Y118" s="1453">
        <f t="shared" si="40"/>
        <v>1</v>
      </c>
      <c r="Z118" s="1465" t="s">
        <v>109</v>
      </c>
      <c r="AA118" s="1464">
        <f>+T136</f>
        <v>0</v>
      </c>
      <c r="AB118" s="1464">
        <f>+T137</f>
        <v>1</v>
      </c>
    </row>
    <row r="119" spans="1:28" ht="13.5" customHeight="1" x14ac:dyDescent="0.4">
      <c r="B119" s="3265"/>
      <c r="C119" s="2475" t="s">
        <v>959</v>
      </c>
      <c r="D119" s="2608">
        <v>0</v>
      </c>
      <c r="E119" s="2608">
        <v>2</v>
      </c>
      <c r="F119" s="2609">
        <v>0</v>
      </c>
      <c r="G119" s="2609">
        <v>1</v>
      </c>
      <c r="H119" s="2609">
        <v>0</v>
      </c>
      <c r="I119" s="2608">
        <v>5</v>
      </c>
      <c r="J119" s="2609">
        <v>0</v>
      </c>
      <c r="K119" s="725">
        <f t="shared" si="38"/>
        <v>8</v>
      </c>
      <c r="L119" s="726" t="s">
        <v>960</v>
      </c>
      <c r="M119" s="720">
        <v>0</v>
      </c>
      <c r="N119" s="720">
        <v>30</v>
      </c>
      <c r="O119" s="720">
        <v>46</v>
      </c>
      <c r="P119" s="720">
        <v>62</v>
      </c>
      <c r="Q119" s="720">
        <v>30</v>
      </c>
      <c r="R119" s="720">
        <v>0</v>
      </c>
      <c r="S119" s="720">
        <v>0</v>
      </c>
      <c r="T119" s="1524">
        <f t="shared" si="39"/>
        <v>168</v>
      </c>
      <c r="U119" s="3258"/>
      <c r="V119" s="3259"/>
      <c r="W119" s="1462">
        <f t="shared" si="41"/>
        <v>0</v>
      </c>
      <c r="X119" s="3266"/>
      <c r="Y119" s="1453">
        <f t="shared" si="40"/>
        <v>87</v>
      </c>
      <c r="Z119" s="1465" t="s">
        <v>113</v>
      </c>
      <c r="AA119" s="1464">
        <f>+T120</f>
        <v>45</v>
      </c>
      <c r="AB119" s="1464">
        <f>+T121</f>
        <v>42</v>
      </c>
    </row>
    <row r="120" spans="1:28" ht="13.5" customHeight="1" x14ac:dyDescent="0.4">
      <c r="B120" s="3267" t="s">
        <v>113</v>
      </c>
      <c r="C120" s="2472" t="s">
        <v>958</v>
      </c>
      <c r="D120" s="2606">
        <v>13</v>
      </c>
      <c r="E120" s="2606">
        <v>17</v>
      </c>
      <c r="F120" s="2607">
        <v>0</v>
      </c>
      <c r="G120" s="2607">
        <v>1</v>
      </c>
      <c r="H120" s="2607">
        <v>6</v>
      </c>
      <c r="I120" s="2606">
        <v>44</v>
      </c>
      <c r="J120" s="2607">
        <v>4</v>
      </c>
      <c r="K120" s="1536">
        <f t="shared" si="38"/>
        <v>85</v>
      </c>
      <c r="L120" s="1518" t="s">
        <v>947</v>
      </c>
      <c r="M120" s="719">
        <v>0</v>
      </c>
      <c r="N120" s="719">
        <v>8</v>
      </c>
      <c r="O120" s="719">
        <v>16</v>
      </c>
      <c r="P120" s="719">
        <v>9</v>
      </c>
      <c r="Q120" s="719">
        <v>12</v>
      </c>
      <c r="R120" s="719">
        <v>0</v>
      </c>
      <c r="S120" s="719">
        <v>0</v>
      </c>
      <c r="T120" s="1519">
        <f t="shared" si="39"/>
        <v>45</v>
      </c>
      <c r="U120" s="3258">
        <f>+T120+T121</f>
        <v>87</v>
      </c>
      <c r="V120" s="3259">
        <f>+K120+K121</f>
        <v>87</v>
      </c>
      <c r="W120" s="1462">
        <f t="shared" si="41"/>
        <v>0</v>
      </c>
      <c r="X120" s="2331"/>
      <c r="Y120" s="1453">
        <f>SUM(Y98:Y119)</f>
        <v>6756</v>
      </c>
      <c r="Z120" s="1464">
        <f>SUM(AA120:AB120)</f>
        <v>6756</v>
      </c>
      <c r="AA120" s="1462">
        <f>SUM(AA98:AA119)</f>
        <v>3394</v>
      </c>
      <c r="AB120" s="1462">
        <f>SUM(AB98:AB119)</f>
        <v>3362</v>
      </c>
    </row>
    <row r="121" spans="1:28" ht="13.5" customHeight="1" x14ac:dyDescent="0.4">
      <c r="B121" s="3265"/>
      <c r="C121" s="2475" t="s">
        <v>959</v>
      </c>
      <c r="D121" s="2608">
        <v>0</v>
      </c>
      <c r="E121" s="2608">
        <v>1</v>
      </c>
      <c r="F121" s="2609">
        <v>0</v>
      </c>
      <c r="G121" s="2609">
        <v>0</v>
      </c>
      <c r="H121" s="2609">
        <v>0</v>
      </c>
      <c r="I121" s="2608">
        <v>1</v>
      </c>
      <c r="J121" s="2609">
        <v>0</v>
      </c>
      <c r="K121" s="725">
        <f t="shared" si="38"/>
        <v>2</v>
      </c>
      <c r="L121" s="726" t="s">
        <v>960</v>
      </c>
      <c r="M121" s="720">
        <v>0</v>
      </c>
      <c r="N121" s="720">
        <v>12</v>
      </c>
      <c r="O121" s="720">
        <v>14</v>
      </c>
      <c r="P121" s="720">
        <v>5</v>
      </c>
      <c r="Q121" s="720">
        <v>11</v>
      </c>
      <c r="R121" s="720">
        <v>0</v>
      </c>
      <c r="S121" s="720">
        <v>0</v>
      </c>
      <c r="T121" s="1524">
        <f t="shared" si="39"/>
        <v>42</v>
      </c>
      <c r="U121" s="3258"/>
      <c r="V121" s="3259"/>
      <c r="W121" s="1462">
        <f t="shared" si="41"/>
        <v>0</v>
      </c>
      <c r="X121" s="2331"/>
      <c r="Y121" s="1453"/>
      <c r="Z121" s="1464"/>
      <c r="AA121" s="1462"/>
      <c r="AB121" s="1462"/>
    </row>
    <row r="122" spans="1:28" ht="12.75" customHeight="1" x14ac:dyDescent="0.4">
      <c r="B122" s="3268" t="s">
        <v>97</v>
      </c>
      <c r="C122" s="2467" t="s">
        <v>958</v>
      </c>
      <c r="D122" s="2606">
        <v>44</v>
      </c>
      <c r="E122" s="2606">
        <v>21</v>
      </c>
      <c r="F122" s="2607">
        <v>0</v>
      </c>
      <c r="G122" s="2607">
        <v>15</v>
      </c>
      <c r="H122" s="2607">
        <v>25</v>
      </c>
      <c r="I122" s="2606">
        <v>183</v>
      </c>
      <c r="J122" s="2607">
        <v>25</v>
      </c>
      <c r="K122" s="721">
        <f t="shared" si="38"/>
        <v>313</v>
      </c>
      <c r="L122" s="1452" t="s">
        <v>947</v>
      </c>
      <c r="M122" s="730">
        <v>0</v>
      </c>
      <c r="N122" s="730">
        <v>21</v>
      </c>
      <c r="O122" s="730">
        <v>58</v>
      </c>
      <c r="P122" s="730">
        <v>53</v>
      </c>
      <c r="Q122" s="730">
        <v>54</v>
      </c>
      <c r="R122" s="730">
        <v>4</v>
      </c>
      <c r="S122" s="730">
        <v>1</v>
      </c>
      <c r="T122" s="723">
        <f t="shared" si="39"/>
        <v>191</v>
      </c>
      <c r="U122" s="3258">
        <f>+T122+T123</f>
        <v>324</v>
      </c>
      <c r="V122" s="3259">
        <f>+K122+K123</f>
        <v>324</v>
      </c>
      <c r="W122" s="1462">
        <f t="shared" si="41"/>
        <v>0</v>
      </c>
      <c r="X122" s="3266"/>
      <c r="Y122" s="1453"/>
      <c r="Z122" s="1464"/>
      <c r="AA122" s="1462"/>
      <c r="AB122" s="1462"/>
    </row>
    <row r="123" spans="1:28" ht="12.75" customHeight="1" x14ac:dyDescent="0.4">
      <c r="B123" s="3268"/>
      <c r="C123" s="2467" t="s">
        <v>959</v>
      </c>
      <c r="D123" s="2608">
        <v>0</v>
      </c>
      <c r="E123" s="2608">
        <v>3</v>
      </c>
      <c r="F123" s="2609">
        <v>0</v>
      </c>
      <c r="G123" s="2609">
        <v>0</v>
      </c>
      <c r="H123" s="2609">
        <v>0</v>
      </c>
      <c r="I123" s="2608">
        <v>8</v>
      </c>
      <c r="J123" s="2609">
        <v>0</v>
      </c>
      <c r="K123" s="721">
        <f t="shared" si="38"/>
        <v>11</v>
      </c>
      <c r="L123" s="1452" t="s">
        <v>960</v>
      </c>
      <c r="M123" s="730">
        <v>0</v>
      </c>
      <c r="N123" s="730">
        <v>22</v>
      </c>
      <c r="O123" s="730">
        <v>44</v>
      </c>
      <c r="P123" s="730">
        <v>28</v>
      </c>
      <c r="Q123" s="730">
        <v>37</v>
      </c>
      <c r="R123" s="730">
        <v>1</v>
      </c>
      <c r="S123" s="730">
        <v>1</v>
      </c>
      <c r="T123" s="723">
        <f t="shared" si="39"/>
        <v>133</v>
      </c>
      <c r="U123" s="3258"/>
      <c r="V123" s="3259"/>
      <c r="W123" s="1462">
        <f t="shared" si="41"/>
        <v>0</v>
      </c>
      <c r="X123" s="3266"/>
      <c r="Y123" s="1453"/>
      <c r="Z123" s="1464"/>
      <c r="AA123" s="1462">
        <f>SUM(AA99:AA117)</f>
        <v>3005</v>
      </c>
      <c r="AB123" s="1462">
        <f>SUM(AB99:AB117)</f>
        <v>2296</v>
      </c>
    </row>
    <row r="124" spans="1:28" ht="12.75" customHeight="1" x14ac:dyDescent="0.4">
      <c r="B124" s="3267" t="s">
        <v>1019</v>
      </c>
      <c r="C124" s="2472" t="s">
        <v>958</v>
      </c>
      <c r="D124" s="2606">
        <v>64</v>
      </c>
      <c r="E124" s="2606">
        <v>19</v>
      </c>
      <c r="F124" s="2607">
        <v>0</v>
      </c>
      <c r="G124" s="2607">
        <v>13</v>
      </c>
      <c r="H124" s="2607">
        <v>24</v>
      </c>
      <c r="I124" s="2606">
        <v>192</v>
      </c>
      <c r="J124" s="2607">
        <v>96</v>
      </c>
      <c r="K124" s="1536">
        <f t="shared" si="38"/>
        <v>408</v>
      </c>
      <c r="L124" s="1518" t="s">
        <v>947</v>
      </c>
      <c r="M124" s="719">
        <v>0</v>
      </c>
      <c r="N124" s="719">
        <v>17</v>
      </c>
      <c r="O124" s="719">
        <v>54</v>
      </c>
      <c r="P124" s="719">
        <v>67</v>
      </c>
      <c r="Q124" s="719">
        <v>57</v>
      </c>
      <c r="R124" s="719">
        <v>3</v>
      </c>
      <c r="S124" s="719">
        <v>0</v>
      </c>
      <c r="T124" s="1519">
        <f t="shared" si="39"/>
        <v>198</v>
      </c>
      <c r="U124" s="3258">
        <f>+T124+T125</f>
        <v>419</v>
      </c>
      <c r="V124" s="3259">
        <f>+K124+K125</f>
        <v>419</v>
      </c>
      <c r="W124" s="1462">
        <f t="shared" si="41"/>
        <v>0</v>
      </c>
      <c r="X124" s="3266"/>
      <c r="Y124" s="1453"/>
      <c r="Z124" s="1464"/>
      <c r="AA124" s="1462"/>
      <c r="AB124" s="1462"/>
    </row>
    <row r="125" spans="1:28" ht="12.75" customHeight="1" x14ac:dyDescent="0.4">
      <c r="B125" s="3265"/>
      <c r="C125" s="2475" t="s">
        <v>959</v>
      </c>
      <c r="D125" s="2608">
        <v>1</v>
      </c>
      <c r="E125" s="2608">
        <v>2</v>
      </c>
      <c r="F125" s="2609">
        <v>0</v>
      </c>
      <c r="G125" s="2609">
        <v>1</v>
      </c>
      <c r="H125" s="2609">
        <v>1</v>
      </c>
      <c r="I125" s="2608">
        <v>6</v>
      </c>
      <c r="J125" s="2609">
        <v>0</v>
      </c>
      <c r="K125" s="725">
        <f t="shared" si="38"/>
        <v>11</v>
      </c>
      <c r="L125" s="726" t="s">
        <v>960</v>
      </c>
      <c r="M125" s="720">
        <v>0</v>
      </c>
      <c r="N125" s="720">
        <v>26</v>
      </c>
      <c r="O125" s="720">
        <v>65</v>
      </c>
      <c r="P125" s="720">
        <v>68</v>
      </c>
      <c r="Q125" s="720">
        <v>62</v>
      </c>
      <c r="R125" s="720">
        <v>0</v>
      </c>
      <c r="S125" s="720">
        <v>0</v>
      </c>
      <c r="T125" s="1524">
        <f t="shared" si="39"/>
        <v>221</v>
      </c>
      <c r="U125" s="3258"/>
      <c r="V125" s="3259"/>
      <c r="W125" s="1462">
        <f t="shared" si="41"/>
        <v>0</v>
      </c>
      <c r="X125" s="3266"/>
      <c r="Y125" s="1453"/>
      <c r="Z125" s="1464"/>
      <c r="AA125" s="1462"/>
      <c r="AB125" s="1462">
        <f>+AA120+AB120</f>
        <v>6756</v>
      </c>
    </row>
    <row r="126" spans="1:28" ht="12.75" customHeight="1" x14ac:dyDescent="0.4">
      <c r="B126" s="3268" t="s">
        <v>101</v>
      </c>
      <c r="C126" s="2467" t="s">
        <v>958</v>
      </c>
      <c r="D126" s="2606">
        <v>64</v>
      </c>
      <c r="E126" s="2606">
        <v>5</v>
      </c>
      <c r="F126" s="2607">
        <v>0</v>
      </c>
      <c r="G126" s="2607">
        <v>14</v>
      </c>
      <c r="H126" s="2607">
        <v>22</v>
      </c>
      <c r="I126" s="2606">
        <v>243</v>
      </c>
      <c r="J126" s="2607">
        <v>57</v>
      </c>
      <c r="K126" s="1536">
        <f t="shared" si="38"/>
        <v>405</v>
      </c>
      <c r="L126" s="1518" t="s">
        <v>947</v>
      </c>
      <c r="M126" s="719">
        <v>0</v>
      </c>
      <c r="N126" s="719">
        <v>17</v>
      </c>
      <c r="O126" s="719">
        <v>46</v>
      </c>
      <c r="P126" s="719">
        <v>56</v>
      </c>
      <c r="Q126" s="719">
        <v>105</v>
      </c>
      <c r="R126" s="719">
        <v>22</v>
      </c>
      <c r="S126" s="719">
        <v>0</v>
      </c>
      <c r="T126" s="1519">
        <f t="shared" si="39"/>
        <v>246</v>
      </c>
      <c r="U126" s="3258">
        <f>+T126+T127</f>
        <v>412</v>
      </c>
      <c r="V126" s="3259">
        <f>+K126+K127</f>
        <v>412</v>
      </c>
      <c r="W126" s="1462">
        <f t="shared" si="41"/>
        <v>0</v>
      </c>
      <c r="X126" s="3266"/>
      <c r="Y126" s="1453"/>
      <c r="Z126" s="1464"/>
      <c r="AA126" s="1462"/>
      <c r="AB126" s="1462"/>
    </row>
    <row r="127" spans="1:28" ht="12.75" customHeight="1" x14ac:dyDescent="0.4">
      <c r="B127" s="3268"/>
      <c r="C127" s="2467" t="s">
        <v>959</v>
      </c>
      <c r="D127" s="2608">
        <v>1</v>
      </c>
      <c r="E127" s="2608">
        <v>1</v>
      </c>
      <c r="F127" s="2609">
        <v>0</v>
      </c>
      <c r="G127" s="2609">
        <v>1</v>
      </c>
      <c r="H127" s="2609">
        <v>1</v>
      </c>
      <c r="I127" s="2608">
        <v>3</v>
      </c>
      <c r="J127" s="2609">
        <v>0</v>
      </c>
      <c r="K127" s="721">
        <f t="shared" si="38"/>
        <v>7</v>
      </c>
      <c r="L127" s="1452" t="s">
        <v>960</v>
      </c>
      <c r="M127" s="730">
        <v>0</v>
      </c>
      <c r="N127" s="730">
        <v>5</v>
      </c>
      <c r="O127" s="730">
        <v>46</v>
      </c>
      <c r="P127" s="730">
        <v>60</v>
      </c>
      <c r="Q127" s="730">
        <v>50</v>
      </c>
      <c r="R127" s="730">
        <v>5</v>
      </c>
      <c r="S127" s="730">
        <v>0</v>
      </c>
      <c r="T127" s="723">
        <f t="shared" si="39"/>
        <v>166</v>
      </c>
      <c r="U127" s="3258"/>
      <c r="V127" s="3259"/>
      <c r="W127" s="1462">
        <f t="shared" si="41"/>
        <v>0</v>
      </c>
      <c r="X127" s="3266"/>
      <c r="Y127" s="1453"/>
      <c r="Z127" s="1464"/>
      <c r="AA127" s="1462"/>
      <c r="AB127" s="1462"/>
    </row>
    <row r="128" spans="1:28" ht="12.75" customHeight="1" x14ac:dyDescent="0.4">
      <c r="B128" s="3267" t="s">
        <v>934</v>
      </c>
      <c r="C128" s="2472" t="s">
        <v>958</v>
      </c>
      <c r="D128" s="2606">
        <v>3</v>
      </c>
      <c r="E128" s="2606">
        <v>23</v>
      </c>
      <c r="F128" s="2607">
        <v>0</v>
      </c>
      <c r="G128" s="2607">
        <v>2</v>
      </c>
      <c r="H128" s="2607">
        <v>6</v>
      </c>
      <c r="I128" s="2606">
        <v>27</v>
      </c>
      <c r="J128" s="2607">
        <v>2</v>
      </c>
      <c r="K128" s="1536">
        <f t="shared" si="38"/>
        <v>63</v>
      </c>
      <c r="L128" s="1518" t="s">
        <v>947</v>
      </c>
      <c r="M128" s="719">
        <v>0</v>
      </c>
      <c r="N128" s="719">
        <v>4</v>
      </c>
      <c r="O128" s="719">
        <v>10</v>
      </c>
      <c r="P128" s="719">
        <v>8</v>
      </c>
      <c r="Q128" s="719">
        <v>6</v>
      </c>
      <c r="R128" s="719">
        <v>0</v>
      </c>
      <c r="S128" s="719">
        <v>0</v>
      </c>
      <c r="T128" s="1519">
        <f t="shared" si="39"/>
        <v>28</v>
      </c>
      <c r="U128" s="3258">
        <f>+T128+T129</f>
        <v>75</v>
      </c>
      <c r="V128" s="3259">
        <f>+K128+K129</f>
        <v>75</v>
      </c>
      <c r="W128" s="1462">
        <f t="shared" si="41"/>
        <v>0</v>
      </c>
      <c r="X128" s="3266"/>
      <c r="Y128" s="1453"/>
      <c r="Z128" s="1464"/>
      <c r="AA128" s="1462"/>
      <c r="AB128" s="1462"/>
    </row>
    <row r="129" spans="1:29" ht="12.75" customHeight="1" x14ac:dyDescent="0.4">
      <c r="B129" s="3265"/>
      <c r="C129" s="2475" t="s">
        <v>959</v>
      </c>
      <c r="D129" s="2608">
        <v>6</v>
      </c>
      <c r="E129" s="2608">
        <v>3</v>
      </c>
      <c r="F129" s="2609">
        <v>0</v>
      </c>
      <c r="G129" s="2609">
        <v>0</v>
      </c>
      <c r="H129" s="2609">
        <v>2</v>
      </c>
      <c r="I129" s="2608">
        <v>1</v>
      </c>
      <c r="J129" s="2609">
        <v>0</v>
      </c>
      <c r="K129" s="721">
        <f t="shared" si="38"/>
        <v>12</v>
      </c>
      <c r="L129" s="1452" t="s">
        <v>960</v>
      </c>
      <c r="M129" s="730">
        <v>0</v>
      </c>
      <c r="N129" s="730">
        <v>16</v>
      </c>
      <c r="O129" s="730">
        <v>21</v>
      </c>
      <c r="P129" s="730">
        <v>7</v>
      </c>
      <c r="Q129" s="730">
        <v>3</v>
      </c>
      <c r="R129" s="730">
        <v>0</v>
      </c>
      <c r="S129" s="730">
        <v>0</v>
      </c>
      <c r="T129" s="723">
        <f t="shared" si="39"/>
        <v>47</v>
      </c>
      <c r="U129" s="3258"/>
      <c r="V129" s="3259"/>
      <c r="W129" s="1462">
        <f t="shared" si="41"/>
        <v>0</v>
      </c>
      <c r="X129" s="3266"/>
      <c r="Y129" s="1453"/>
      <c r="Z129" s="1464"/>
      <c r="AA129" s="1462"/>
      <c r="AB129" s="1462"/>
    </row>
    <row r="130" spans="1:29" ht="12.75" customHeight="1" x14ac:dyDescent="0.4">
      <c r="B130" s="3267" t="s">
        <v>108</v>
      </c>
      <c r="C130" s="2467" t="s">
        <v>958</v>
      </c>
      <c r="D130" s="2606">
        <v>18</v>
      </c>
      <c r="E130" s="2606">
        <v>12</v>
      </c>
      <c r="F130" s="2607">
        <v>0</v>
      </c>
      <c r="G130" s="2607">
        <v>2</v>
      </c>
      <c r="H130" s="2607">
        <v>4</v>
      </c>
      <c r="I130" s="2606">
        <v>81</v>
      </c>
      <c r="J130" s="2607">
        <v>31</v>
      </c>
      <c r="K130" s="1536">
        <f t="shared" si="38"/>
        <v>148</v>
      </c>
      <c r="L130" s="1518" t="s">
        <v>947</v>
      </c>
      <c r="M130" s="719">
        <v>0</v>
      </c>
      <c r="N130" s="719">
        <v>7</v>
      </c>
      <c r="O130" s="719">
        <v>22</v>
      </c>
      <c r="P130" s="719">
        <v>17</v>
      </c>
      <c r="Q130" s="719">
        <v>33</v>
      </c>
      <c r="R130" s="719">
        <v>2</v>
      </c>
      <c r="S130" s="719">
        <v>1</v>
      </c>
      <c r="T130" s="1519">
        <f t="shared" si="39"/>
        <v>82</v>
      </c>
      <c r="U130" s="3258">
        <f>+T130+T131</f>
        <v>149</v>
      </c>
      <c r="V130" s="3259">
        <f>+K130+K131</f>
        <v>149</v>
      </c>
      <c r="W130" s="1462">
        <f t="shared" si="41"/>
        <v>0</v>
      </c>
      <c r="X130" s="2331"/>
      <c r="Y130" s="1453"/>
      <c r="Z130" s="1464"/>
      <c r="AA130" s="1462"/>
      <c r="AB130" s="1462"/>
    </row>
    <row r="131" spans="1:29" ht="12.75" customHeight="1" x14ac:dyDescent="0.4">
      <c r="B131" s="3265"/>
      <c r="C131" s="2467" t="s">
        <v>959</v>
      </c>
      <c r="D131" s="2608">
        <v>0</v>
      </c>
      <c r="E131" s="2608">
        <v>0</v>
      </c>
      <c r="F131" s="2609">
        <v>0</v>
      </c>
      <c r="G131" s="2609">
        <v>0</v>
      </c>
      <c r="H131" s="2609">
        <v>0</v>
      </c>
      <c r="I131" s="2608">
        <v>1</v>
      </c>
      <c r="J131" s="2609">
        <v>0</v>
      </c>
      <c r="K131" s="721">
        <f t="shared" si="38"/>
        <v>1</v>
      </c>
      <c r="L131" s="1452" t="s">
        <v>960</v>
      </c>
      <c r="M131" s="720">
        <v>0</v>
      </c>
      <c r="N131" s="720">
        <v>12</v>
      </c>
      <c r="O131" s="720">
        <v>18</v>
      </c>
      <c r="P131" s="720">
        <v>6</v>
      </c>
      <c r="Q131" s="720">
        <v>31</v>
      </c>
      <c r="R131" s="720">
        <v>0</v>
      </c>
      <c r="S131" s="720">
        <v>0</v>
      </c>
      <c r="T131" s="1524">
        <f t="shared" si="39"/>
        <v>67</v>
      </c>
      <c r="U131" s="3258"/>
      <c r="V131" s="3259"/>
      <c r="W131" s="1462">
        <f t="shared" si="41"/>
        <v>0</v>
      </c>
      <c r="X131" s="2331"/>
      <c r="Y131" s="1453"/>
      <c r="Z131" s="1464"/>
      <c r="AA131" s="1462"/>
      <c r="AB131" s="1462"/>
    </row>
    <row r="132" spans="1:29" ht="12.75" customHeight="1" x14ac:dyDescent="0.4">
      <c r="B132" s="3265" t="s">
        <v>104</v>
      </c>
      <c r="C132" s="2472" t="s">
        <v>958</v>
      </c>
      <c r="D132" s="2606">
        <v>10</v>
      </c>
      <c r="E132" s="2606">
        <v>9</v>
      </c>
      <c r="F132" s="2607">
        <v>0</v>
      </c>
      <c r="G132" s="2607">
        <v>4</v>
      </c>
      <c r="H132" s="2607">
        <v>7</v>
      </c>
      <c r="I132" s="2606">
        <v>61</v>
      </c>
      <c r="J132" s="2607">
        <v>27</v>
      </c>
      <c r="K132" s="1536">
        <f t="shared" si="38"/>
        <v>118</v>
      </c>
      <c r="L132" s="1527" t="s">
        <v>947</v>
      </c>
      <c r="M132" s="730">
        <v>0</v>
      </c>
      <c r="N132" s="730">
        <v>11</v>
      </c>
      <c r="O132" s="730">
        <v>35</v>
      </c>
      <c r="P132" s="730">
        <v>9</v>
      </c>
      <c r="Q132" s="730">
        <v>9</v>
      </c>
      <c r="R132" s="730">
        <v>0</v>
      </c>
      <c r="S132" s="730">
        <v>0</v>
      </c>
      <c r="T132" s="723">
        <f t="shared" si="39"/>
        <v>64</v>
      </c>
      <c r="U132" s="3258">
        <f>+T132+T133</f>
        <v>125</v>
      </c>
      <c r="V132" s="3259">
        <f>+K132+K133</f>
        <v>125</v>
      </c>
      <c r="W132" s="1462">
        <f t="shared" si="41"/>
        <v>0</v>
      </c>
      <c r="X132" s="3266"/>
      <c r="Y132" s="1453"/>
      <c r="Z132" s="1464"/>
      <c r="AA132" s="1462"/>
      <c r="AB132" s="1462"/>
    </row>
    <row r="133" spans="1:29" ht="12.75" customHeight="1" x14ac:dyDescent="0.4">
      <c r="B133" s="3264"/>
      <c r="C133" s="2475" t="s">
        <v>959</v>
      </c>
      <c r="D133" s="2608">
        <v>0</v>
      </c>
      <c r="E133" s="2608">
        <v>4</v>
      </c>
      <c r="F133" s="2609">
        <v>0</v>
      </c>
      <c r="G133" s="2609">
        <v>0</v>
      </c>
      <c r="H133" s="2609">
        <v>0</v>
      </c>
      <c r="I133" s="2608">
        <v>3</v>
      </c>
      <c r="J133" s="2609">
        <v>0</v>
      </c>
      <c r="K133" s="725">
        <f t="shared" si="38"/>
        <v>7</v>
      </c>
      <c r="L133" s="1520" t="s">
        <v>960</v>
      </c>
      <c r="M133" s="720">
        <v>0</v>
      </c>
      <c r="N133" s="720">
        <v>12</v>
      </c>
      <c r="O133" s="720">
        <v>24</v>
      </c>
      <c r="P133" s="720">
        <v>19</v>
      </c>
      <c r="Q133" s="720">
        <v>6</v>
      </c>
      <c r="R133" s="720">
        <v>0</v>
      </c>
      <c r="S133" s="720">
        <v>0</v>
      </c>
      <c r="T133" s="1524">
        <f t="shared" si="39"/>
        <v>61</v>
      </c>
      <c r="U133" s="3258"/>
      <c r="V133" s="3259"/>
      <c r="W133" s="1462">
        <f t="shared" si="41"/>
        <v>0</v>
      </c>
      <c r="X133" s="3266"/>
      <c r="Y133" s="1453"/>
      <c r="Z133" s="1464"/>
      <c r="AA133" s="1462"/>
      <c r="AB133" s="1462"/>
    </row>
    <row r="134" spans="1:29" ht="16.5" customHeight="1" x14ac:dyDescent="0.4">
      <c r="A134" s="1459">
        <f>+K134+K135</f>
        <v>227</v>
      </c>
      <c r="B134" s="3264" t="s">
        <v>96</v>
      </c>
      <c r="C134" s="2472" t="s">
        <v>958</v>
      </c>
      <c r="D134" s="2606">
        <v>31</v>
      </c>
      <c r="E134" s="2606">
        <v>33</v>
      </c>
      <c r="F134" s="2607">
        <v>0</v>
      </c>
      <c r="G134" s="2607">
        <v>2</v>
      </c>
      <c r="H134" s="2607">
        <v>5</v>
      </c>
      <c r="I134" s="2606">
        <v>77</v>
      </c>
      <c r="J134" s="2607">
        <v>73</v>
      </c>
      <c r="K134" s="1536">
        <f t="shared" si="38"/>
        <v>221</v>
      </c>
      <c r="L134" s="1527" t="s">
        <v>947</v>
      </c>
      <c r="M134" s="719">
        <v>0</v>
      </c>
      <c r="N134" s="719">
        <v>6</v>
      </c>
      <c r="O134" s="719">
        <v>23</v>
      </c>
      <c r="P134" s="719">
        <v>29</v>
      </c>
      <c r="Q134" s="719">
        <v>20</v>
      </c>
      <c r="R134" s="719">
        <v>1</v>
      </c>
      <c r="S134" s="719">
        <v>0</v>
      </c>
      <c r="T134" s="1519">
        <f t="shared" si="39"/>
        <v>79</v>
      </c>
      <c r="U134" s="3258">
        <f>+T134+T135</f>
        <v>227</v>
      </c>
      <c r="V134" s="3259">
        <f>+K134+K135</f>
        <v>227</v>
      </c>
      <c r="W134" s="1462">
        <f t="shared" si="41"/>
        <v>0</v>
      </c>
      <c r="X134" s="3266"/>
      <c r="Y134" s="2331"/>
      <c r="Z134" s="1464"/>
      <c r="AA134" s="1462"/>
      <c r="AB134" s="1462"/>
    </row>
    <row r="135" spans="1:29" ht="13.5" customHeight="1" x14ac:dyDescent="0.4">
      <c r="B135" s="3264"/>
      <c r="C135" s="2475" t="s">
        <v>959</v>
      </c>
      <c r="D135" s="2608">
        <v>2</v>
      </c>
      <c r="E135" s="2608">
        <v>2</v>
      </c>
      <c r="F135" s="2609">
        <v>0</v>
      </c>
      <c r="G135" s="2609">
        <v>0</v>
      </c>
      <c r="H135" s="2609">
        <v>0</v>
      </c>
      <c r="I135" s="2608">
        <v>2</v>
      </c>
      <c r="J135" s="2609">
        <v>0</v>
      </c>
      <c r="K135" s="725">
        <f t="shared" si="38"/>
        <v>6</v>
      </c>
      <c r="L135" s="1520" t="s">
        <v>960</v>
      </c>
      <c r="M135" s="720">
        <v>0</v>
      </c>
      <c r="N135" s="720">
        <v>17</v>
      </c>
      <c r="O135" s="720">
        <v>54</v>
      </c>
      <c r="P135" s="720">
        <v>44</v>
      </c>
      <c r="Q135" s="720">
        <v>32</v>
      </c>
      <c r="R135" s="720">
        <v>1</v>
      </c>
      <c r="S135" s="720">
        <v>0</v>
      </c>
      <c r="T135" s="1524">
        <f t="shared" si="39"/>
        <v>148</v>
      </c>
      <c r="U135" s="3258"/>
      <c r="V135" s="3259"/>
      <c r="W135" s="1462">
        <f t="shared" si="41"/>
        <v>0</v>
      </c>
      <c r="X135" s="3266"/>
      <c r="Y135" s="2331"/>
      <c r="Z135" s="1464"/>
      <c r="AA135" s="1462"/>
      <c r="AB135" s="1462"/>
    </row>
    <row r="136" spans="1:29" ht="13.5" customHeight="1" x14ac:dyDescent="0.4">
      <c r="B136" s="3264" t="s">
        <v>109</v>
      </c>
      <c r="C136" s="2472" t="s">
        <v>958</v>
      </c>
      <c r="D136" s="2606">
        <v>0</v>
      </c>
      <c r="E136" s="2606">
        <v>0</v>
      </c>
      <c r="F136" s="2607">
        <v>0</v>
      </c>
      <c r="G136" s="2607">
        <v>1</v>
      </c>
      <c r="H136" s="2607">
        <v>0</v>
      </c>
      <c r="I136" s="2606">
        <v>0</v>
      </c>
      <c r="J136" s="2607">
        <v>0</v>
      </c>
      <c r="K136" s="1536">
        <f t="shared" si="38"/>
        <v>1</v>
      </c>
      <c r="L136" s="1527" t="s">
        <v>947</v>
      </c>
      <c r="M136" s="730">
        <v>0</v>
      </c>
      <c r="N136" s="730">
        <v>0</v>
      </c>
      <c r="O136" s="730">
        <v>0</v>
      </c>
      <c r="P136" s="730">
        <v>0</v>
      </c>
      <c r="Q136" s="730">
        <v>0</v>
      </c>
      <c r="R136" s="730">
        <v>0</v>
      </c>
      <c r="S136" s="730">
        <v>0</v>
      </c>
      <c r="T136" s="1519">
        <f t="shared" si="39"/>
        <v>0</v>
      </c>
      <c r="U136" s="3258">
        <f>+T136+T137</f>
        <v>1</v>
      </c>
      <c r="V136" s="3259">
        <f>+K136+K137</f>
        <v>1</v>
      </c>
      <c r="W136" s="1462">
        <f t="shared" si="41"/>
        <v>0</v>
      </c>
      <c r="X136" s="2331"/>
      <c r="Y136" s="2331"/>
      <c r="Z136" s="1462"/>
      <c r="AA136" s="1462"/>
      <c r="AB136" s="1462"/>
    </row>
    <row r="137" spans="1:29" ht="13.5" customHeight="1" x14ac:dyDescent="0.4">
      <c r="B137" s="3264"/>
      <c r="C137" s="2475" t="s">
        <v>959</v>
      </c>
      <c r="D137" s="2608">
        <v>0</v>
      </c>
      <c r="E137" s="2608">
        <v>0</v>
      </c>
      <c r="F137" s="2609">
        <v>0</v>
      </c>
      <c r="G137" s="2609">
        <v>0</v>
      </c>
      <c r="H137" s="2609">
        <v>0</v>
      </c>
      <c r="I137" s="2608">
        <v>0</v>
      </c>
      <c r="J137" s="2609">
        <v>0</v>
      </c>
      <c r="K137" s="725">
        <f t="shared" si="38"/>
        <v>0</v>
      </c>
      <c r="L137" s="1520" t="s">
        <v>960</v>
      </c>
      <c r="M137" s="730">
        <v>0</v>
      </c>
      <c r="N137" s="730">
        <v>1</v>
      </c>
      <c r="O137" s="730">
        <v>0</v>
      </c>
      <c r="P137" s="730">
        <v>0</v>
      </c>
      <c r="Q137" s="730">
        <v>0</v>
      </c>
      <c r="R137" s="730">
        <v>0</v>
      </c>
      <c r="S137" s="730">
        <v>0</v>
      </c>
      <c r="T137" s="1524">
        <f t="shared" si="39"/>
        <v>1</v>
      </c>
      <c r="U137" s="3258"/>
      <c r="V137" s="3259"/>
      <c r="W137" s="1462">
        <f t="shared" si="41"/>
        <v>0</v>
      </c>
      <c r="X137" s="2331"/>
      <c r="Y137" s="2331"/>
      <c r="Z137" s="1462"/>
      <c r="AA137" s="1462"/>
      <c r="AB137" s="1462"/>
    </row>
    <row r="138" spans="1:29" ht="16.5" customHeight="1" x14ac:dyDescent="0.4">
      <c r="B138" s="3264" t="s">
        <v>212</v>
      </c>
      <c r="C138" s="2472" t="s">
        <v>958</v>
      </c>
      <c r="D138" s="2606">
        <v>4</v>
      </c>
      <c r="E138" s="2606">
        <v>12</v>
      </c>
      <c r="F138" s="2607">
        <v>0</v>
      </c>
      <c r="G138" s="2607">
        <v>5</v>
      </c>
      <c r="H138" s="2607">
        <v>9</v>
      </c>
      <c r="I138" s="2606">
        <v>58</v>
      </c>
      <c r="J138" s="2607">
        <v>31</v>
      </c>
      <c r="K138" s="1536">
        <f t="shared" si="38"/>
        <v>119</v>
      </c>
      <c r="L138" s="1518" t="s">
        <v>947</v>
      </c>
      <c r="M138" s="719">
        <v>0</v>
      </c>
      <c r="N138" s="719">
        <v>8</v>
      </c>
      <c r="O138" s="719">
        <v>21</v>
      </c>
      <c r="P138" s="719">
        <v>21</v>
      </c>
      <c r="Q138" s="719">
        <v>13</v>
      </c>
      <c r="R138" s="719">
        <v>1</v>
      </c>
      <c r="S138" s="719">
        <v>0</v>
      </c>
      <c r="T138" s="1519">
        <f t="shared" si="39"/>
        <v>64</v>
      </c>
      <c r="U138" s="3258">
        <f>+T138+T139</f>
        <v>131</v>
      </c>
      <c r="V138" s="3259">
        <f>+K138+K139</f>
        <v>131</v>
      </c>
      <c r="W138" s="1462">
        <f t="shared" si="41"/>
        <v>0</v>
      </c>
      <c r="X138" s="1462"/>
      <c r="Y138" s="1462"/>
      <c r="Z138" s="1462"/>
      <c r="AA138" s="1462"/>
      <c r="AB138" s="1462"/>
      <c r="AC138" s="1462"/>
    </row>
    <row r="139" spans="1:29" ht="15.75" customHeight="1" thickBot="1" x14ac:dyDescent="0.45">
      <c r="B139" s="3264"/>
      <c r="C139" s="2475" t="s">
        <v>959</v>
      </c>
      <c r="D139" s="2608">
        <v>0</v>
      </c>
      <c r="E139" s="2608">
        <v>4</v>
      </c>
      <c r="F139" s="2609">
        <v>0</v>
      </c>
      <c r="G139" s="2609">
        <v>0</v>
      </c>
      <c r="H139" s="2609">
        <v>2</v>
      </c>
      <c r="I139" s="2608">
        <v>6</v>
      </c>
      <c r="J139" s="2609">
        <v>0</v>
      </c>
      <c r="K139" s="721">
        <f t="shared" si="38"/>
        <v>12</v>
      </c>
      <c r="L139" s="738" t="s">
        <v>960</v>
      </c>
      <c r="M139" s="730">
        <v>0</v>
      </c>
      <c r="N139" s="730">
        <v>15</v>
      </c>
      <c r="O139" s="730">
        <v>21</v>
      </c>
      <c r="P139" s="730">
        <v>23</v>
      </c>
      <c r="Q139" s="730">
        <v>7</v>
      </c>
      <c r="R139" s="730">
        <v>0</v>
      </c>
      <c r="S139" s="730">
        <v>1</v>
      </c>
      <c r="T139" s="1535">
        <f t="shared" si="39"/>
        <v>67</v>
      </c>
      <c r="U139" s="3258"/>
      <c r="V139" s="3259"/>
      <c r="W139" s="1462">
        <f t="shared" si="41"/>
        <v>0</v>
      </c>
    </row>
    <row r="140" spans="1:29" ht="21" customHeight="1" x14ac:dyDescent="0.4">
      <c r="B140" s="3246" t="s">
        <v>529</v>
      </c>
      <c r="C140" s="2344" t="s">
        <v>958</v>
      </c>
      <c r="D140" s="2345">
        <f>+D138+D136+D134+D132+D130+D128+D126+D124+D122+D118+D116+D114+D112+D110+D108+D106+D104+D102+D100+D98+D120</f>
        <v>606</v>
      </c>
      <c r="E140" s="2345">
        <f t="shared" ref="E140:K141" si="42">+E138+E136+E134+E132+E130+E128+E126+E124+E122+E118+E116+E114+E112+E110+E108+E106+E104+E102+E100+E98+E120</f>
        <v>357</v>
      </c>
      <c r="F140" s="2345">
        <f>+F138+F136+F134+F132+F130+F128+F126+F124+F122+F118+F116+F114+F112+F110+F108+F106+F104+F102+F100+F98+F120</f>
        <v>4</v>
      </c>
      <c r="G140" s="2345">
        <f t="shared" si="42"/>
        <v>141</v>
      </c>
      <c r="H140" s="2345">
        <f t="shared" si="42"/>
        <v>333</v>
      </c>
      <c r="I140" s="2345">
        <f t="shared" si="42"/>
        <v>2960</v>
      </c>
      <c r="J140" s="2345">
        <f t="shared" si="42"/>
        <v>797</v>
      </c>
      <c r="K140" s="2345">
        <f t="shared" si="42"/>
        <v>5198</v>
      </c>
      <c r="L140" s="2346" t="s">
        <v>947</v>
      </c>
      <c r="M140" s="2345">
        <f t="shared" ref="M140:S141" si="43">+M138+M136+M134+M132+M130+M128+M126+M124+M122+M118+M116+M114+M112+M110+M108+M106+M104+M102+M100+M98+M120</f>
        <v>2</v>
      </c>
      <c r="N140" s="2345">
        <f t="shared" si="43"/>
        <v>276</v>
      </c>
      <c r="O140" s="2345">
        <f t="shared" si="43"/>
        <v>959</v>
      </c>
      <c r="P140" s="2345">
        <f t="shared" si="43"/>
        <v>900</v>
      </c>
      <c r="Q140" s="2345">
        <f t="shared" si="43"/>
        <v>834</v>
      </c>
      <c r="R140" s="2345">
        <f t="shared" si="43"/>
        <v>68</v>
      </c>
      <c r="S140" s="2345">
        <f t="shared" si="43"/>
        <v>11</v>
      </c>
      <c r="T140" s="2358">
        <f t="shared" si="39"/>
        <v>3050</v>
      </c>
      <c r="U140" s="3258">
        <f>+T140+T141</f>
        <v>5389</v>
      </c>
      <c r="V140" s="3259">
        <f>+T140+T141</f>
        <v>5389</v>
      </c>
    </row>
    <row r="141" spans="1:29" ht="20.25" customHeight="1" thickBot="1" x14ac:dyDescent="0.45">
      <c r="B141" s="3257"/>
      <c r="C141" s="2347" t="s">
        <v>959</v>
      </c>
      <c r="D141" s="2348">
        <f>+D139+D137+D135+D133+D131+D129+D127+D125+D123+D119+D117+D115+D113+D111+D109+D107+D105+D103+D101+D99+D121</f>
        <v>22</v>
      </c>
      <c r="E141" s="2348">
        <f t="shared" si="42"/>
        <v>63</v>
      </c>
      <c r="F141" s="2348">
        <f>+F139+F137+F135+F133+F131+F129+F127+F125+F123+F119+F117+F115+F113+F111+F109+F107+F105+F103+F101+F99+F121</f>
        <v>1</v>
      </c>
      <c r="G141" s="2348">
        <f t="shared" si="42"/>
        <v>8</v>
      </c>
      <c r="H141" s="2348">
        <f t="shared" si="42"/>
        <v>7</v>
      </c>
      <c r="I141" s="2348">
        <f t="shared" si="42"/>
        <v>90</v>
      </c>
      <c r="J141" s="2348">
        <f t="shared" si="42"/>
        <v>0</v>
      </c>
      <c r="K141" s="2348">
        <f t="shared" si="42"/>
        <v>191</v>
      </c>
      <c r="L141" s="2349" t="s">
        <v>960</v>
      </c>
      <c r="M141" s="2348">
        <f t="shared" si="43"/>
        <v>5</v>
      </c>
      <c r="N141" s="2348">
        <f t="shared" si="43"/>
        <v>384</v>
      </c>
      <c r="O141" s="2348">
        <f t="shared" si="43"/>
        <v>723</v>
      </c>
      <c r="P141" s="2348">
        <f t="shared" si="43"/>
        <v>654</v>
      </c>
      <c r="Q141" s="2348">
        <f t="shared" si="43"/>
        <v>546</v>
      </c>
      <c r="R141" s="2348">
        <f t="shared" si="43"/>
        <v>21</v>
      </c>
      <c r="S141" s="2348">
        <f t="shared" si="43"/>
        <v>6</v>
      </c>
      <c r="T141" s="2359">
        <f t="shared" si="39"/>
        <v>2339</v>
      </c>
      <c r="U141" s="3258"/>
      <c r="V141" s="3259"/>
    </row>
    <row r="142" spans="1:29" ht="16.5" thickBot="1" x14ac:dyDescent="0.45">
      <c r="B142" s="3260" t="s">
        <v>1009</v>
      </c>
      <c r="C142" s="3261"/>
      <c r="D142" s="2356">
        <f t="shared" ref="D142:K142" si="44">+D140+D141</f>
        <v>628</v>
      </c>
      <c r="E142" s="2356">
        <f t="shared" si="44"/>
        <v>420</v>
      </c>
      <c r="F142" s="2356">
        <f t="shared" si="44"/>
        <v>5</v>
      </c>
      <c r="G142" s="2356">
        <f t="shared" si="44"/>
        <v>149</v>
      </c>
      <c r="H142" s="2356">
        <f t="shared" si="44"/>
        <v>340</v>
      </c>
      <c r="I142" s="2356">
        <f t="shared" si="44"/>
        <v>3050</v>
      </c>
      <c r="J142" s="2356">
        <f t="shared" si="44"/>
        <v>797</v>
      </c>
      <c r="K142" s="2357">
        <f t="shared" si="44"/>
        <v>5389</v>
      </c>
      <c r="L142" s="2360"/>
      <c r="M142" s="2351">
        <f t="shared" ref="M142:S142" si="45">+M140+M141</f>
        <v>7</v>
      </c>
      <c r="N142" s="2352">
        <f t="shared" si="45"/>
        <v>660</v>
      </c>
      <c r="O142" s="2351">
        <f t="shared" si="45"/>
        <v>1682</v>
      </c>
      <c r="P142" s="2352">
        <f t="shared" si="45"/>
        <v>1554</v>
      </c>
      <c r="Q142" s="2351">
        <f t="shared" si="45"/>
        <v>1380</v>
      </c>
      <c r="R142" s="2352">
        <f t="shared" si="45"/>
        <v>89</v>
      </c>
      <c r="S142" s="2351">
        <f t="shared" si="45"/>
        <v>17</v>
      </c>
      <c r="T142" s="2361">
        <f>+T140+T141</f>
        <v>5389</v>
      </c>
      <c r="U142" s="1466"/>
    </row>
    <row r="143" spans="1:29" ht="21" x14ac:dyDescent="0.4">
      <c r="B143" s="3262"/>
      <c r="C143" s="3262"/>
      <c r="D143" s="3262"/>
      <c r="E143" s="3262"/>
      <c r="F143" s="3262"/>
      <c r="G143" s="3262"/>
      <c r="H143" s="3262"/>
      <c r="U143" s="1467"/>
    </row>
    <row r="144" spans="1:29" x14ac:dyDescent="0.4">
      <c r="K144" s="1386">
        <f>SUM(K98:K139)</f>
        <v>5389</v>
      </c>
      <c r="V144" s="1462"/>
    </row>
    <row r="145" spans="1:29" ht="57.75" thickBot="1" x14ac:dyDescent="0.45">
      <c r="B145" s="1386" t="s">
        <v>425</v>
      </c>
      <c r="V145" s="1462"/>
      <c r="W145" s="1468" t="s">
        <v>1020</v>
      </c>
      <c r="X145" s="1469" t="s">
        <v>952</v>
      </c>
      <c r="Y145" s="1469" t="s">
        <v>953</v>
      </c>
      <c r="Z145" s="1469" t="s">
        <v>954</v>
      </c>
      <c r="AA145" s="1445" t="s">
        <v>955</v>
      </c>
      <c r="AB145" s="1446" t="s">
        <v>1021</v>
      </c>
    </row>
    <row r="146" spans="1:29" x14ac:dyDescent="0.4">
      <c r="B146" s="1470"/>
      <c r="C146" s="1470"/>
      <c r="D146" s="1470"/>
      <c r="E146" s="1470"/>
      <c r="F146" s="1470"/>
      <c r="G146" s="1470"/>
      <c r="H146" s="1470"/>
      <c r="I146" s="1470"/>
      <c r="J146" s="1470"/>
      <c r="K146" s="1470"/>
      <c r="L146" s="1470"/>
      <c r="M146" s="1470"/>
      <c r="N146" s="1470"/>
      <c r="O146" s="731"/>
      <c r="P146" s="1470"/>
      <c r="Q146" s="731"/>
      <c r="R146" s="1470"/>
      <c r="S146" s="1470"/>
      <c r="T146" s="1470"/>
      <c r="V146" s="1471"/>
      <c r="W146" s="1471"/>
      <c r="X146" s="1471"/>
      <c r="Y146" s="1462"/>
    </row>
    <row r="147" spans="1:29" ht="21.75" thickBot="1" x14ac:dyDescent="0.45">
      <c r="B147" s="3263" t="s">
        <v>1938</v>
      </c>
      <c r="C147" s="3263"/>
      <c r="D147" s="3263"/>
      <c r="E147" s="3263"/>
      <c r="F147" s="3263"/>
      <c r="G147" s="3263"/>
      <c r="H147" s="3263"/>
      <c r="I147" s="3263"/>
      <c r="J147" s="3263"/>
      <c r="K147" s="3263"/>
      <c r="L147" s="3263"/>
      <c r="M147" s="3263"/>
      <c r="N147" s="3263"/>
      <c r="O147" s="3263"/>
      <c r="P147" s="3263"/>
      <c r="Q147" s="3263"/>
      <c r="R147" s="3263"/>
      <c r="S147" s="3263"/>
      <c r="T147" s="3263"/>
      <c r="V147" s="1471"/>
      <c r="W147" s="1471"/>
      <c r="X147" s="1471"/>
      <c r="Y147" s="1462"/>
      <c r="Z147" s="1462"/>
      <c r="AA147" s="1462"/>
      <c r="AB147" s="1462"/>
    </row>
    <row r="148" spans="1:29" ht="18" customHeight="1" x14ac:dyDescent="0.4">
      <c r="B148" s="3246" t="s">
        <v>937</v>
      </c>
      <c r="C148" s="3248" t="s">
        <v>938</v>
      </c>
      <c r="D148" s="3246" t="s">
        <v>939</v>
      </c>
      <c r="E148" s="3250"/>
      <c r="F148" s="3250"/>
      <c r="G148" s="3250"/>
      <c r="H148" s="3250"/>
      <c r="I148" s="3250"/>
      <c r="J148" s="3250"/>
      <c r="K148" s="3251"/>
      <c r="L148" s="3252" t="s">
        <v>940</v>
      </c>
      <c r="M148" s="3254" t="s">
        <v>941</v>
      </c>
      <c r="N148" s="3254"/>
      <c r="O148" s="3254"/>
      <c r="P148" s="3254"/>
      <c r="Q148" s="3254"/>
      <c r="R148" s="3254"/>
      <c r="S148" s="3254"/>
      <c r="T148" s="3255" t="s">
        <v>170</v>
      </c>
      <c r="V148" s="1471"/>
      <c r="W148" s="1471"/>
      <c r="X148" s="1471"/>
      <c r="Y148" s="1462"/>
      <c r="Z148" s="1462"/>
      <c r="AA148" s="1462"/>
      <c r="AB148" s="1462"/>
      <c r="AC148" s="1471"/>
    </row>
    <row r="149" spans="1:29" ht="63.75" thickBot="1" x14ac:dyDescent="0.45">
      <c r="B149" s="3247"/>
      <c r="C149" s="3249"/>
      <c r="D149" s="1499" t="s">
        <v>1013</v>
      </c>
      <c r="E149" s="1500" t="s">
        <v>1014</v>
      </c>
      <c r="F149" s="1501" t="s">
        <v>1015</v>
      </c>
      <c r="G149" s="1501" t="s">
        <v>945</v>
      </c>
      <c r="H149" s="1501" t="s">
        <v>946</v>
      </c>
      <c r="I149" s="1502" t="s">
        <v>947</v>
      </c>
      <c r="J149" s="1501" t="s">
        <v>948</v>
      </c>
      <c r="K149" s="2329" t="s">
        <v>949</v>
      </c>
      <c r="L149" s="3253"/>
      <c r="M149" s="1501" t="s">
        <v>950</v>
      </c>
      <c r="N149" s="1503" t="s">
        <v>951</v>
      </c>
      <c r="O149" s="1501" t="s">
        <v>952</v>
      </c>
      <c r="P149" s="1501" t="s">
        <v>953</v>
      </c>
      <c r="Q149" s="1501" t="s">
        <v>954</v>
      </c>
      <c r="R149" s="1504" t="s">
        <v>955</v>
      </c>
      <c r="S149" s="1503" t="s">
        <v>956</v>
      </c>
      <c r="T149" s="3256"/>
      <c r="U149" s="1459"/>
      <c r="V149" s="1472"/>
      <c r="W149" s="1473"/>
      <c r="X149" s="1473"/>
      <c r="Y149" s="1473"/>
      <c r="Z149" s="1462"/>
      <c r="AA149" s="1462"/>
      <c r="AB149" s="1462"/>
    </row>
    <row r="150" spans="1:29" ht="22.5" x14ac:dyDescent="0.55000000000000004">
      <c r="B150" s="3236" t="s">
        <v>1022</v>
      </c>
      <c r="C150" s="2610" t="s">
        <v>958</v>
      </c>
      <c r="D150" s="1474">
        <f t="shared" ref="D150:J151" si="46">D87</f>
        <v>63</v>
      </c>
      <c r="E150" s="1474">
        <f t="shared" si="46"/>
        <v>300</v>
      </c>
      <c r="F150" s="1474">
        <f>F87</f>
        <v>10</v>
      </c>
      <c r="G150" s="1474">
        <f>G87</f>
        <v>225</v>
      </c>
      <c r="H150" s="1474">
        <f t="shared" si="46"/>
        <v>129</v>
      </c>
      <c r="I150" s="1474">
        <f t="shared" si="46"/>
        <v>274</v>
      </c>
      <c r="J150" s="1474">
        <f t="shared" si="46"/>
        <v>26</v>
      </c>
      <c r="K150" s="1475">
        <f>SUM(D150:J150)</f>
        <v>1027</v>
      </c>
      <c r="L150" s="1455" t="s">
        <v>947</v>
      </c>
      <c r="M150" s="1476">
        <f t="shared" ref="M150:S151" si="47">M87</f>
        <v>10</v>
      </c>
      <c r="N150" s="1476">
        <f t="shared" si="47"/>
        <v>124</v>
      </c>
      <c r="O150" s="732">
        <f t="shared" si="47"/>
        <v>165</v>
      </c>
      <c r="P150" s="1476">
        <f t="shared" si="47"/>
        <v>28</v>
      </c>
      <c r="Q150" s="732">
        <f t="shared" si="47"/>
        <v>15</v>
      </c>
      <c r="R150" s="1476">
        <f t="shared" si="47"/>
        <v>1</v>
      </c>
      <c r="S150" s="1476">
        <f t="shared" si="47"/>
        <v>1</v>
      </c>
      <c r="T150" s="1477">
        <f>SUM(M150:S150)</f>
        <v>344</v>
      </c>
      <c r="U150" s="1435"/>
      <c r="V150" s="1472" t="s">
        <v>1023</v>
      </c>
      <c r="W150" s="1473">
        <f>+M154+N154</f>
        <v>412</v>
      </c>
      <c r="X150" s="1473">
        <f t="shared" ref="X150:AB151" si="48">O154</f>
        <v>1124</v>
      </c>
      <c r="Y150" s="1473">
        <f t="shared" si="48"/>
        <v>928</v>
      </c>
      <c r="Z150" s="1473">
        <f t="shared" si="48"/>
        <v>849</v>
      </c>
      <c r="AA150" s="1473">
        <f t="shared" si="48"/>
        <v>69</v>
      </c>
      <c r="AB150" s="1473">
        <f t="shared" si="48"/>
        <v>12</v>
      </c>
    </row>
    <row r="151" spans="1:29" ht="22.5" x14ac:dyDescent="0.55000000000000004">
      <c r="B151" s="3237"/>
      <c r="C151" s="2611" t="s">
        <v>959</v>
      </c>
      <c r="D151" s="1478">
        <f t="shared" si="46"/>
        <v>38</v>
      </c>
      <c r="E151" s="1478">
        <f t="shared" si="46"/>
        <v>163</v>
      </c>
      <c r="F151" s="1478">
        <f>F88</f>
        <v>1</v>
      </c>
      <c r="G151" s="1478">
        <f t="shared" si="46"/>
        <v>55</v>
      </c>
      <c r="H151" s="1478">
        <f t="shared" si="46"/>
        <v>8</v>
      </c>
      <c r="I151" s="1478">
        <f t="shared" si="46"/>
        <v>70</v>
      </c>
      <c r="J151" s="1478">
        <f t="shared" si="46"/>
        <v>2</v>
      </c>
      <c r="K151" s="1479">
        <f>SUM(D151:J151)</f>
        <v>337</v>
      </c>
      <c r="L151" s="1453" t="s">
        <v>960</v>
      </c>
      <c r="M151" s="1480">
        <f t="shared" si="47"/>
        <v>21</v>
      </c>
      <c r="N151" s="1480">
        <f t="shared" si="47"/>
        <v>359</v>
      </c>
      <c r="O151" s="733">
        <f t="shared" si="47"/>
        <v>515</v>
      </c>
      <c r="P151" s="1480">
        <f t="shared" si="47"/>
        <v>58</v>
      </c>
      <c r="Q151" s="733">
        <f t="shared" si="47"/>
        <v>65</v>
      </c>
      <c r="R151" s="1480">
        <f t="shared" si="47"/>
        <v>3</v>
      </c>
      <c r="S151" s="1480">
        <f t="shared" si="47"/>
        <v>2</v>
      </c>
      <c r="T151" s="1481">
        <f>SUM(M151:S151)</f>
        <v>1023</v>
      </c>
      <c r="U151" s="1435"/>
      <c r="V151" s="1472" t="s">
        <v>1017</v>
      </c>
      <c r="W151" s="1473">
        <f>+M155+N155</f>
        <v>771</v>
      </c>
      <c r="X151" s="1473">
        <f t="shared" si="48"/>
        <v>1238</v>
      </c>
      <c r="Y151" s="1473">
        <f t="shared" si="48"/>
        <v>712</v>
      </c>
      <c r="Z151" s="1473">
        <f t="shared" si="48"/>
        <v>611</v>
      </c>
      <c r="AA151" s="1473">
        <f t="shared" si="48"/>
        <v>24</v>
      </c>
      <c r="AB151" s="1473">
        <f t="shared" si="48"/>
        <v>8</v>
      </c>
    </row>
    <row r="152" spans="1:29" x14ac:dyDescent="0.4">
      <c r="B152" s="3238" t="s">
        <v>1024</v>
      </c>
      <c r="C152" s="2612" t="s">
        <v>958</v>
      </c>
      <c r="D152" s="1482">
        <f t="shared" ref="D152:J153" si="49">D140</f>
        <v>606</v>
      </c>
      <c r="E152" s="1482">
        <f t="shared" si="49"/>
        <v>357</v>
      </c>
      <c r="F152" s="1482">
        <f>F140</f>
        <v>4</v>
      </c>
      <c r="G152" s="1482">
        <f t="shared" si="49"/>
        <v>141</v>
      </c>
      <c r="H152" s="1482">
        <f t="shared" si="49"/>
        <v>333</v>
      </c>
      <c r="I152" s="1482">
        <f t="shared" si="49"/>
        <v>2960</v>
      </c>
      <c r="J152" s="1482">
        <f t="shared" si="49"/>
        <v>797</v>
      </c>
      <c r="K152" s="1483">
        <f>SUM(D152:J152)</f>
        <v>5198</v>
      </c>
      <c r="L152" s="1447" t="s">
        <v>947</v>
      </c>
      <c r="M152" s="1484">
        <f t="shared" ref="M152:S153" si="50">M140</f>
        <v>2</v>
      </c>
      <c r="N152" s="1484">
        <f t="shared" si="50"/>
        <v>276</v>
      </c>
      <c r="O152" s="734">
        <f t="shared" si="50"/>
        <v>959</v>
      </c>
      <c r="P152" s="1484">
        <f t="shared" si="50"/>
        <v>900</v>
      </c>
      <c r="Q152" s="734">
        <f t="shared" si="50"/>
        <v>834</v>
      </c>
      <c r="R152" s="1484">
        <f t="shared" si="50"/>
        <v>68</v>
      </c>
      <c r="S152" s="1484">
        <f t="shared" si="50"/>
        <v>11</v>
      </c>
      <c r="T152" s="1485">
        <f>SUM(M152:S152)</f>
        <v>3050</v>
      </c>
      <c r="U152" s="1486"/>
      <c r="V152" s="1473"/>
      <c r="W152" s="1473">
        <f t="shared" ref="W152:AB152" si="51">SUM(W150:W151)</f>
        <v>1183</v>
      </c>
      <c r="X152" s="1473">
        <f t="shared" si="51"/>
        <v>2362</v>
      </c>
      <c r="Y152" s="1473">
        <f t="shared" si="51"/>
        <v>1640</v>
      </c>
      <c r="Z152" s="1473">
        <f t="shared" si="51"/>
        <v>1460</v>
      </c>
      <c r="AA152" s="1473">
        <f t="shared" si="51"/>
        <v>93</v>
      </c>
      <c r="AB152" s="1473">
        <f t="shared" si="51"/>
        <v>20</v>
      </c>
    </row>
    <row r="153" spans="1:29" ht="18" customHeight="1" thickBot="1" x14ac:dyDescent="0.45">
      <c r="B153" s="3239"/>
      <c r="C153" s="2613" t="s">
        <v>959</v>
      </c>
      <c r="D153" s="1487">
        <f t="shared" si="49"/>
        <v>22</v>
      </c>
      <c r="E153" s="1487">
        <f t="shared" si="49"/>
        <v>63</v>
      </c>
      <c r="F153" s="1487">
        <f>F141</f>
        <v>1</v>
      </c>
      <c r="G153" s="1487">
        <f t="shared" si="49"/>
        <v>8</v>
      </c>
      <c r="H153" s="1487">
        <f t="shared" si="49"/>
        <v>7</v>
      </c>
      <c r="I153" s="1487">
        <f t="shared" si="49"/>
        <v>90</v>
      </c>
      <c r="J153" s="1487">
        <f t="shared" si="49"/>
        <v>0</v>
      </c>
      <c r="K153" s="1483">
        <f>SUM(D153:J153)</f>
        <v>191</v>
      </c>
      <c r="L153" s="1453" t="s">
        <v>960</v>
      </c>
      <c r="M153" s="1488">
        <f t="shared" si="50"/>
        <v>5</v>
      </c>
      <c r="N153" s="1488">
        <f t="shared" si="50"/>
        <v>384</v>
      </c>
      <c r="O153" s="735">
        <f t="shared" si="50"/>
        <v>723</v>
      </c>
      <c r="P153" s="1488">
        <f t="shared" si="50"/>
        <v>654</v>
      </c>
      <c r="Q153" s="735">
        <f t="shared" si="50"/>
        <v>546</v>
      </c>
      <c r="R153" s="1488">
        <f t="shared" si="50"/>
        <v>21</v>
      </c>
      <c r="S153" s="1488">
        <f t="shared" si="50"/>
        <v>6</v>
      </c>
      <c r="T153" s="1481">
        <f>SUM(M153:S153)</f>
        <v>2339</v>
      </c>
      <c r="U153" s="1459"/>
      <c r="V153" s="1459"/>
      <c r="W153" s="736">
        <f t="shared" ref="W153:AA153" si="52">+W152/$W$154</f>
        <v>0.17505179047055341</v>
      </c>
      <c r="X153" s="736">
        <f t="shared" si="52"/>
        <v>0.34951168984906777</v>
      </c>
      <c r="Y153" s="736">
        <f t="shared" si="52"/>
        <v>0.24267534773601657</v>
      </c>
      <c r="Z153" s="736">
        <f t="shared" si="52"/>
        <v>0.21604024859425866</v>
      </c>
      <c r="AA153" s="736">
        <f t="shared" si="52"/>
        <v>1.3761467889908258E-2</v>
      </c>
      <c r="AB153" s="736">
        <f>+AB152/$W$154</f>
        <v>2.9594554601953238E-3</v>
      </c>
    </row>
    <row r="154" spans="1:29" ht="18" customHeight="1" x14ac:dyDescent="0.4">
      <c r="A154" s="3240">
        <v>89</v>
      </c>
      <c r="B154" s="3241" t="s">
        <v>1025</v>
      </c>
      <c r="C154" s="2344" t="s">
        <v>958</v>
      </c>
      <c r="D154" s="2362">
        <f t="shared" ref="D154:D155" si="53">+D150+D152</f>
        <v>669</v>
      </c>
      <c r="E154" s="2362">
        <v>662</v>
      </c>
      <c r="F154" s="2362">
        <v>14</v>
      </c>
      <c r="G154" s="2362">
        <v>366</v>
      </c>
      <c r="H154" s="2362">
        <v>462</v>
      </c>
      <c r="I154" s="2362">
        <v>3235</v>
      </c>
      <c r="J154" s="2362">
        <v>823</v>
      </c>
      <c r="K154" s="2363">
        <v>6231</v>
      </c>
      <c r="L154" s="2364" t="s">
        <v>947</v>
      </c>
      <c r="M154" s="2365">
        <v>12</v>
      </c>
      <c r="N154" s="2365">
        <v>400</v>
      </c>
      <c r="O154" s="2365">
        <v>1124</v>
      </c>
      <c r="P154" s="2365">
        <v>928</v>
      </c>
      <c r="Q154" s="2365">
        <v>849</v>
      </c>
      <c r="R154" s="2365">
        <v>69</v>
      </c>
      <c r="S154" s="2365">
        <v>12</v>
      </c>
      <c r="T154" s="2366">
        <v>3394</v>
      </c>
      <c r="U154" s="1459"/>
      <c r="V154" s="1459"/>
      <c r="W154" s="1386">
        <f>SUM(W152:AB152)</f>
        <v>6758</v>
      </c>
      <c r="Y154" s="1386" t="s">
        <v>425</v>
      </c>
    </row>
    <row r="155" spans="1:29" ht="16.5" thickBot="1" x14ac:dyDescent="0.45">
      <c r="A155" s="3240"/>
      <c r="B155" s="3242"/>
      <c r="C155" s="2347" t="s">
        <v>959</v>
      </c>
      <c r="D155" s="2367">
        <f t="shared" si="53"/>
        <v>60</v>
      </c>
      <c r="E155" s="2367">
        <v>226</v>
      </c>
      <c r="F155" s="2367">
        <v>2</v>
      </c>
      <c r="G155" s="2367">
        <v>63</v>
      </c>
      <c r="H155" s="2367">
        <v>15</v>
      </c>
      <c r="I155" s="2367">
        <v>159</v>
      </c>
      <c r="J155" s="2367">
        <v>2</v>
      </c>
      <c r="K155" s="2368">
        <v>527</v>
      </c>
      <c r="L155" s="2369" t="s">
        <v>960</v>
      </c>
      <c r="M155" s="2370">
        <v>26</v>
      </c>
      <c r="N155" s="2370">
        <v>745</v>
      </c>
      <c r="O155" s="2370">
        <v>1238</v>
      </c>
      <c r="P155" s="2370">
        <v>712</v>
      </c>
      <c r="Q155" s="2370">
        <v>611</v>
      </c>
      <c r="R155" s="2370">
        <v>24</v>
      </c>
      <c r="S155" s="2371">
        <v>8</v>
      </c>
      <c r="T155" s="2372">
        <v>3364</v>
      </c>
      <c r="X155" s="1386">
        <f>1565/5818</f>
        <v>0.26899278102440699</v>
      </c>
      <c r="Y155" s="1386">
        <f>W151/5818</f>
        <v>0.1325197662426951</v>
      </c>
    </row>
    <row r="156" spans="1:29" ht="16.5" thickBot="1" x14ac:dyDescent="0.45">
      <c r="B156" s="3243" t="s">
        <v>1009</v>
      </c>
      <c r="C156" s="3244"/>
      <c r="D156" s="1564">
        <f t="shared" ref="D156:J156" si="54">+D155+D154</f>
        <v>729</v>
      </c>
      <c r="E156" s="1565">
        <v>888</v>
      </c>
      <c r="F156" s="1566">
        <f t="shared" si="54"/>
        <v>16</v>
      </c>
      <c r="G156" s="1565">
        <f t="shared" si="54"/>
        <v>429</v>
      </c>
      <c r="H156" s="1566">
        <f t="shared" si="54"/>
        <v>477</v>
      </c>
      <c r="I156" s="1565">
        <f t="shared" si="54"/>
        <v>3394</v>
      </c>
      <c r="J156" s="1566">
        <f t="shared" si="54"/>
        <v>825</v>
      </c>
      <c r="K156" s="1567">
        <v>6758</v>
      </c>
      <c r="L156" s="1568"/>
      <c r="M156" s="1569">
        <v>38</v>
      </c>
      <c r="N156" s="1566">
        <v>1145</v>
      </c>
      <c r="O156" s="1566">
        <v>2362</v>
      </c>
      <c r="P156" s="1566">
        <v>1640</v>
      </c>
      <c r="Q156" s="1569">
        <v>1460</v>
      </c>
      <c r="R156" s="1566">
        <v>93</v>
      </c>
      <c r="S156" s="1570">
        <v>20</v>
      </c>
      <c r="T156" s="1571">
        <v>6758</v>
      </c>
    </row>
    <row r="157" spans="1:29" x14ac:dyDescent="0.4">
      <c r="B157" s="1489" t="s">
        <v>1026</v>
      </c>
      <c r="C157" s="1489"/>
      <c r="D157" s="1489"/>
      <c r="E157" s="1489"/>
      <c r="F157" s="1489"/>
      <c r="G157" s="1489"/>
      <c r="H157" s="1489"/>
      <c r="I157" s="1489"/>
      <c r="J157" s="1489"/>
      <c r="K157" s="1489"/>
      <c r="L157" s="1489"/>
      <c r="M157" s="1489"/>
      <c r="N157" s="1489"/>
      <c r="O157" s="739"/>
      <c r="P157" s="1489"/>
      <c r="Q157" s="739"/>
      <c r="R157" s="1489"/>
      <c r="S157" s="1489"/>
      <c r="T157" s="1489"/>
    </row>
    <row r="158" spans="1:29" ht="16.5" customHeight="1" x14ac:dyDescent="0.4">
      <c r="B158" s="3245"/>
      <c r="C158" s="3245"/>
      <c r="D158" s="3245"/>
      <c r="E158" s="3245"/>
      <c r="F158" s="3245"/>
      <c r="G158" s="3245"/>
      <c r="H158" s="3245"/>
      <c r="I158" s="3245"/>
      <c r="J158" s="3245"/>
      <c r="K158" s="3245"/>
      <c r="L158" s="3245"/>
      <c r="M158" s="3245"/>
      <c r="N158" s="1490"/>
      <c r="O158" s="1491"/>
      <c r="P158" s="1490"/>
      <c r="Q158" s="1491"/>
      <c r="R158" s="1470"/>
      <c r="S158" s="1470"/>
      <c r="T158" s="1470"/>
      <c r="V158" s="1386">
        <f>+I156/7598</f>
        <v>0.4466964990787049</v>
      </c>
    </row>
    <row r="159" spans="1:29" ht="16.5" customHeight="1" thickBot="1" x14ac:dyDescent="0.6">
      <c r="C159" s="3222" t="s">
        <v>1939</v>
      </c>
      <c r="D159" s="3222"/>
      <c r="E159" s="3222"/>
      <c r="F159" s="3222"/>
      <c r="G159" s="3222"/>
      <c r="H159" s="3222"/>
      <c r="I159" s="3222"/>
      <c r="J159" s="3222"/>
      <c r="K159" s="3222"/>
      <c r="L159" s="3222"/>
      <c r="M159" s="3222"/>
      <c r="N159" s="3222"/>
      <c r="O159" s="3222"/>
      <c r="P159" s="3222"/>
      <c r="Q159" s="3222"/>
    </row>
    <row r="160" spans="1:29" ht="16.5" customHeight="1" x14ac:dyDescent="0.4">
      <c r="C160" s="3223" t="s">
        <v>118</v>
      </c>
      <c r="D160" s="3224"/>
      <c r="E160" s="3224"/>
      <c r="F160" s="3224"/>
      <c r="G160" s="3225"/>
      <c r="H160" s="3229" t="s">
        <v>38</v>
      </c>
      <c r="I160" s="3230"/>
      <c r="J160" s="3230"/>
      <c r="K160" s="3231"/>
      <c r="L160" s="3230" t="s">
        <v>442</v>
      </c>
      <c r="M160" s="3230"/>
      <c r="N160" s="3230"/>
      <c r="O160" s="3231"/>
      <c r="P160" s="3223" t="s">
        <v>1027</v>
      </c>
      <c r="Q160" s="3225"/>
      <c r="U160" s="1492"/>
    </row>
    <row r="161" spans="3:24" ht="16.5" customHeight="1" thickBot="1" x14ac:dyDescent="0.45">
      <c r="C161" s="3226"/>
      <c r="D161" s="3227"/>
      <c r="E161" s="3227"/>
      <c r="F161" s="3227"/>
      <c r="G161" s="3228"/>
      <c r="H161" s="3232">
        <v>1399</v>
      </c>
      <c r="I161" s="3233"/>
      <c r="J161" s="3234">
        <v>1403</v>
      </c>
      <c r="K161" s="3235"/>
      <c r="L161" s="3227" t="s">
        <v>1028</v>
      </c>
      <c r="M161" s="3227"/>
      <c r="N161" s="3234" t="s">
        <v>1029</v>
      </c>
      <c r="O161" s="3235"/>
      <c r="P161" s="3226"/>
      <c r="Q161" s="3228"/>
    </row>
    <row r="162" spans="3:24" ht="16.5" customHeight="1" x14ac:dyDescent="0.4">
      <c r="C162" s="3212" t="s">
        <v>948</v>
      </c>
      <c r="D162" s="3213"/>
      <c r="E162" s="3213"/>
      <c r="F162" s="3213"/>
      <c r="G162" s="3214"/>
      <c r="H162" s="3215">
        <v>923</v>
      </c>
      <c r="I162" s="3216"/>
      <c r="J162" s="3217">
        <f>J156</f>
        <v>825</v>
      </c>
      <c r="K162" s="3216"/>
      <c r="L162" s="3218" t="s">
        <v>25</v>
      </c>
      <c r="M162" s="3219"/>
      <c r="N162" s="3220">
        <f>+H162-J162</f>
        <v>98</v>
      </c>
      <c r="O162" s="3221"/>
      <c r="P162" s="3204">
        <f t="shared" ref="P162:P169" si="55">(J162-H162)/H162</f>
        <v>-0.10617551462621885</v>
      </c>
      <c r="Q162" s="3205"/>
      <c r="V162" s="1386" t="s">
        <v>25</v>
      </c>
      <c r="X162" s="2662">
        <f>J162/$J$169</f>
        <v>0.12207753773305711</v>
      </c>
    </row>
    <row r="163" spans="3:24" ht="16.5" customHeight="1" x14ac:dyDescent="0.4">
      <c r="C163" s="3194" t="s">
        <v>1030</v>
      </c>
      <c r="D163" s="3195"/>
      <c r="E163" s="3195"/>
      <c r="F163" s="3195"/>
      <c r="G163" s="3196"/>
      <c r="H163" s="3197">
        <v>3017</v>
      </c>
      <c r="I163" s="3198"/>
      <c r="J163" s="3206">
        <f>I156</f>
        <v>3394</v>
      </c>
      <c r="K163" s="3198"/>
      <c r="L163" s="3210">
        <f t="shared" ref="L163" si="56">J163-H163</f>
        <v>377</v>
      </c>
      <c r="M163" s="3211"/>
      <c r="N163" s="3198" t="s">
        <v>25</v>
      </c>
      <c r="O163" s="3209"/>
      <c r="P163" s="3204">
        <f t="shared" si="55"/>
        <v>0.12495856811402055</v>
      </c>
      <c r="Q163" s="3205"/>
      <c r="X163" s="2662">
        <f t="shared" ref="X163:X168" si="57">J163/$J$169</f>
        <v>0.50221959159514651</v>
      </c>
    </row>
    <row r="164" spans="3:24" ht="16.5" customHeight="1" x14ac:dyDescent="0.4">
      <c r="C164" s="3194" t="s">
        <v>1031</v>
      </c>
      <c r="D164" s="3195"/>
      <c r="E164" s="3195"/>
      <c r="F164" s="3195"/>
      <c r="G164" s="3196"/>
      <c r="H164" s="3197">
        <v>913</v>
      </c>
      <c r="I164" s="3198"/>
      <c r="J164" s="3206">
        <f>H156</f>
        <v>477</v>
      </c>
      <c r="K164" s="3198"/>
      <c r="L164" s="3207" t="s">
        <v>25</v>
      </c>
      <c r="M164" s="3208"/>
      <c r="N164" s="3198">
        <f t="shared" ref="N164:N169" si="58">H164-J164</f>
        <v>436</v>
      </c>
      <c r="O164" s="3209"/>
      <c r="P164" s="3204">
        <f t="shared" si="55"/>
        <v>-0.47754654983570644</v>
      </c>
      <c r="Q164" s="3205"/>
      <c r="X164" s="2662">
        <f t="shared" si="57"/>
        <v>7.0583012725658478E-2</v>
      </c>
    </row>
    <row r="165" spans="3:24" ht="16.5" customHeight="1" x14ac:dyDescent="0.4">
      <c r="C165" s="3194" t="s">
        <v>945</v>
      </c>
      <c r="D165" s="3195"/>
      <c r="E165" s="3195"/>
      <c r="F165" s="3195"/>
      <c r="G165" s="3196"/>
      <c r="H165" s="3197">
        <v>579</v>
      </c>
      <c r="I165" s="3198"/>
      <c r="J165" s="3206">
        <f>G156</f>
        <v>429</v>
      </c>
      <c r="K165" s="3198"/>
      <c r="L165" s="3207" t="s">
        <v>25</v>
      </c>
      <c r="M165" s="3208"/>
      <c r="N165" s="3198">
        <f t="shared" si="58"/>
        <v>150</v>
      </c>
      <c r="O165" s="3209"/>
      <c r="P165" s="3204">
        <f t="shared" si="55"/>
        <v>-0.25906735751295334</v>
      </c>
      <c r="Q165" s="3205"/>
      <c r="X165" s="2662">
        <f t="shared" si="57"/>
        <v>6.3480319621189704E-2</v>
      </c>
    </row>
    <row r="166" spans="3:24" ht="22.5" x14ac:dyDescent="0.4">
      <c r="C166" s="3194" t="s">
        <v>943</v>
      </c>
      <c r="D166" s="3195"/>
      <c r="E166" s="3195"/>
      <c r="F166" s="3195"/>
      <c r="G166" s="3196"/>
      <c r="H166" s="3197">
        <v>1204</v>
      </c>
      <c r="I166" s="3198"/>
      <c r="J166" s="3206">
        <v>888</v>
      </c>
      <c r="K166" s="3198"/>
      <c r="L166" s="3207" t="s">
        <v>25</v>
      </c>
      <c r="M166" s="3208"/>
      <c r="N166" s="3198">
        <f t="shared" si="58"/>
        <v>316</v>
      </c>
      <c r="O166" s="3209"/>
      <c r="P166" s="3204">
        <f t="shared" si="55"/>
        <v>-0.26245847176079734</v>
      </c>
      <c r="Q166" s="3205"/>
      <c r="X166" s="2662">
        <f t="shared" si="57"/>
        <v>0.1313998224326724</v>
      </c>
    </row>
    <row r="167" spans="3:24" ht="22.5" x14ac:dyDescent="0.4">
      <c r="C167" s="3194" t="s">
        <v>942</v>
      </c>
      <c r="D167" s="3195"/>
      <c r="E167" s="3195"/>
      <c r="F167" s="3195"/>
      <c r="G167" s="3196"/>
      <c r="H167" s="3197">
        <v>933</v>
      </c>
      <c r="I167" s="3198"/>
      <c r="J167" s="3206">
        <f>D156</f>
        <v>729</v>
      </c>
      <c r="K167" s="3198"/>
      <c r="L167" s="3207" t="s">
        <v>25</v>
      </c>
      <c r="M167" s="3208"/>
      <c r="N167" s="3198">
        <f t="shared" si="58"/>
        <v>204</v>
      </c>
      <c r="O167" s="3209"/>
      <c r="P167" s="3204">
        <f t="shared" si="55"/>
        <v>-0.21864951768488747</v>
      </c>
      <c r="Q167" s="3205"/>
      <c r="T167" s="3193"/>
      <c r="U167" s="3193"/>
      <c r="X167" s="2662">
        <f t="shared" si="57"/>
        <v>0.10787215152411957</v>
      </c>
    </row>
    <row r="168" spans="3:24" ht="23.25" thickBot="1" x14ac:dyDescent="0.45">
      <c r="C168" s="3194" t="s">
        <v>944</v>
      </c>
      <c r="D168" s="3195"/>
      <c r="E168" s="3195"/>
      <c r="F168" s="3195"/>
      <c r="G168" s="3196"/>
      <c r="H168" s="3197">
        <v>29</v>
      </c>
      <c r="I168" s="3198"/>
      <c r="J168" s="3199">
        <f>F156</f>
        <v>16</v>
      </c>
      <c r="K168" s="3200"/>
      <c r="L168" s="3201" t="s">
        <v>25</v>
      </c>
      <c r="M168" s="3202"/>
      <c r="N168" s="3200">
        <f t="shared" si="58"/>
        <v>13</v>
      </c>
      <c r="O168" s="3203"/>
      <c r="P168" s="3204">
        <f t="shared" si="55"/>
        <v>-0.44827586206896552</v>
      </c>
      <c r="Q168" s="3205"/>
      <c r="X168" s="2662">
        <f t="shared" si="57"/>
        <v>2.3675643681562593E-3</v>
      </c>
    </row>
    <row r="169" spans="3:24" ht="23.25" thickBot="1" x14ac:dyDescent="0.45">
      <c r="C169" s="3182" t="s">
        <v>1025</v>
      </c>
      <c r="D169" s="3183"/>
      <c r="E169" s="3183"/>
      <c r="F169" s="3183"/>
      <c r="G169" s="3184"/>
      <c r="H169" s="3185">
        <f>SUM(H162:I168)</f>
        <v>7598</v>
      </c>
      <c r="I169" s="3186"/>
      <c r="J169" s="3187">
        <f>SUM(J162:K168)</f>
        <v>6758</v>
      </c>
      <c r="K169" s="3188"/>
      <c r="L169" s="3189" t="s">
        <v>25</v>
      </c>
      <c r="M169" s="3190"/>
      <c r="N169" s="3187">
        <f t="shared" si="58"/>
        <v>840</v>
      </c>
      <c r="O169" s="3188"/>
      <c r="P169" s="3191">
        <f t="shared" si="55"/>
        <v>-0.11055540931824165</v>
      </c>
      <c r="Q169" s="3192"/>
    </row>
    <row r="179" spans="9:9" x14ac:dyDescent="0.4">
      <c r="I179" s="1492"/>
    </row>
  </sheetData>
  <autoFilter ref="A94:U142" xr:uid="{00000000-0009-0000-0000-00003800000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285">
    <mergeCell ref="B1:T1"/>
    <mergeCell ref="B2:B3"/>
    <mergeCell ref="C2:C3"/>
    <mergeCell ref="D2:K2"/>
    <mergeCell ref="L2:L3"/>
    <mergeCell ref="M2:S2"/>
    <mergeCell ref="T2:T3"/>
    <mergeCell ref="B8:B9"/>
    <mergeCell ref="U8:U9"/>
    <mergeCell ref="V8:V9"/>
    <mergeCell ref="B10:B11"/>
    <mergeCell ref="U10:U11"/>
    <mergeCell ref="V10:V11"/>
    <mergeCell ref="U2:U3"/>
    <mergeCell ref="B4:B5"/>
    <mergeCell ref="U4:U5"/>
    <mergeCell ref="V4:V5"/>
    <mergeCell ref="B6:B7"/>
    <mergeCell ref="U6:U7"/>
    <mergeCell ref="V6:V7"/>
    <mergeCell ref="B16:B17"/>
    <mergeCell ref="U16:U17"/>
    <mergeCell ref="V16:V17"/>
    <mergeCell ref="B18:B19"/>
    <mergeCell ref="U18:U19"/>
    <mergeCell ref="V18:V19"/>
    <mergeCell ref="B12:B13"/>
    <mergeCell ref="U12:U13"/>
    <mergeCell ref="V12:V13"/>
    <mergeCell ref="B14:B15"/>
    <mergeCell ref="U14:U15"/>
    <mergeCell ref="V14:V15"/>
    <mergeCell ref="B24:B25"/>
    <mergeCell ref="U24:U25"/>
    <mergeCell ref="V24:V25"/>
    <mergeCell ref="B26:B27"/>
    <mergeCell ref="U26:U27"/>
    <mergeCell ref="V26:V27"/>
    <mergeCell ref="B20:B21"/>
    <mergeCell ref="U20:U21"/>
    <mergeCell ref="V20:V21"/>
    <mergeCell ref="B22:B23"/>
    <mergeCell ref="U22:U23"/>
    <mergeCell ref="V22:V23"/>
    <mergeCell ref="B33:B34"/>
    <mergeCell ref="U33:U34"/>
    <mergeCell ref="V33:V34"/>
    <mergeCell ref="B35:B36"/>
    <mergeCell ref="U35:U36"/>
    <mergeCell ref="V35:V36"/>
    <mergeCell ref="B28:B29"/>
    <mergeCell ref="U29:U30"/>
    <mergeCell ref="V29:V30"/>
    <mergeCell ref="B31:B32"/>
    <mergeCell ref="U31:U32"/>
    <mergeCell ref="V31:V32"/>
    <mergeCell ref="B42:B43"/>
    <mergeCell ref="U42:U43"/>
    <mergeCell ref="V42:V43"/>
    <mergeCell ref="B44:B45"/>
    <mergeCell ref="B46:B47"/>
    <mergeCell ref="U46:U47"/>
    <mergeCell ref="V46:V47"/>
    <mergeCell ref="B38:B39"/>
    <mergeCell ref="U38:U39"/>
    <mergeCell ref="V38:V39"/>
    <mergeCell ref="B40:B41"/>
    <mergeCell ref="U40:U41"/>
    <mergeCell ref="V40:V41"/>
    <mergeCell ref="B54:B55"/>
    <mergeCell ref="U54:U55"/>
    <mergeCell ref="V54:V55"/>
    <mergeCell ref="B56:B57"/>
    <mergeCell ref="U56:U57"/>
    <mergeCell ref="V56:V57"/>
    <mergeCell ref="B50:B51"/>
    <mergeCell ref="U50:U51"/>
    <mergeCell ref="V50:V51"/>
    <mergeCell ref="B52:B53"/>
    <mergeCell ref="U52:U53"/>
    <mergeCell ref="V52:V53"/>
    <mergeCell ref="B65:B66"/>
    <mergeCell ref="U65:U66"/>
    <mergeCell ref="V65:V66"/>
    <mergeCell ref="B67:B68"/>
    <mergeCell ref="U67:U68"/>
    <mergeCell ref="V67:V68"/>
    <mergeCell ref="B59:B60"/>
    <mergeCell ref="B61:B62"/>
    <mergeCell ref="U61:U62"/>
    <mergeCell ref="V61:V62"/>
    <mergeCell ref="B63:B64"/>
    <mergeCell ref="U63:U64"/>
    <mergeCell ref="V63:V64"/>
    <mergeCell ref="A77:A78"/>
    <mergeCell ref="B77:B78"/>
    <mergeCell ref="U77:U78"/>
    <mergeCell ref="V77:V78"/>
    <mergeCell ref="B79:B80"/>
    <mergeCell ref="U79:U80"/>
    <mergeCell ref="V79:V80"/>
    <mergeCell ref="B70:B71"/>
    <mergeCell ref="U70:U71"/>
    <mergeCell ref="V70:V71"/>
    <mergeCell ref="B72:B73"/>
    <mergeCell ref="B74:B75"/>
    <mergeCell ref="U74:U75"/>
    <mergeCell ref="V74:V75"/>
    <mergeCell ref="B85:B86"/>
    <mergeCell ref="U85:U86"/>
    <mergeCell ref="V85:V86"/>
    <mergeCell ref="B87:B88"/>
    <mergeCell ref="U87:U88"/>
    <mergeCell ref="V87:V88"/>
    <mergeCell ref="B81:B82"/>
    <mergeCell ref="U81:U82"/>
    <mergeCell ref="V81:V82"/>
    <mergeCell ref="B83:B84"/>
    <mergeCell ref="U83:U84"/>
    <mergeCell ref="V83:V84"/>
    <mergeCell ref="X98:X99"/>
    <mergeCell ref="B100:B101"/>
    <mergeCell ref="U100:U101"/>
    <mergeCell ref="V100:V101"/>
    <mergeCell ref="X100:X101"/>
    <mergeCell ref="B89:C89"/>
    <mergeCell ref="B94:U94"/>
    <mergeCell ref="B95:T95"/>
    <mergeCell ref="B96:B97"/>
    <mergeCell ref="C96:C97"/>
    <mergeCell ref="D96:K96"/>
    <mergeCell ref="L96:L97"/>
    <mergeCell ref="M96:S96"/>
    <mergeCell ref="T96:T97"/>
    <mergeCell ref="U96:U97"/>
    <mergeCell ref="B102:B103"/>
    <mergeCell ref="U102:U103"/>
    <mergeCell ref="V102:V103"/>
    <mergeCell ref="B104:B105"/>
    <mergeCell ref="U104:U105"/>
    <mergeCell ref="V104:V105"/>
    <mergeCell ref="B98:B99"/>
    <mergeCell ref="U98:U99"/>
    <mergeCell ref="V98:V99"/>
    <mergeCell ref="B110:B111"/>
    <mergeCell ref="U110:U111"/>
    <mergeCell ref="V110:V111"/>
    <mergeCell ref="B112:B113"/>
    <mergeCell ref="U112:U113"/>
    <mergeCell ref="V112:V113"/>
    <mergeCell ref="X104:X105"/>
    <mergeCell ref="B106:B107"/>
    <mergeCell ref="U106:U107"/>
    <mergeCell ref="V106:V107"/>
    <mergeCell ref="X106:X107"/>
    <mergeCell ref="B108:B109"/>
    <mergeCell ref="U108:U109"/>
    <mergeCell ref="V108:V109"/>
    <mergeCell ref="X108:X109"/>
    <mergeCell ref="X116:X117"/>
    <mergeCell ref="B118:B119"/>
    <mergeCell ref="U118:U119"/>
    <mergeCell ref="V118:V119"/>
    <mergeCell ref="X118:X119"/>
    <mergeCell ref="X112:X113"/>
    <mergeCell ref="A114:A115"/>
    <mergeCell ref="B114:B115"/>
    <mergeCell ref="U114:U115"/>
    <mergeCell ref="V114:V115"/>
    <mergeCell ref="X114:X115"/>
    <mergeCell ref="B120:B121"/>
    <mergeCell ref="U120:U121"/>
    <mergeCell ref="V120:V121"/>
    <mergeCell ref="B122:B123"/>
    <mergeCell ref="U122:U123"/>
    <mergeCell ref="V122:V123"/>
    <mergeCell ref="B116:B117"/>
    <mergeCell ref="U116:U117"/>
    <mergeCell ref="V116:V117"/>
    <mergeCell ref="X122:X123"/>
    <mergeCell ref="B124:B125"/>
    <mergeCell ref="U124:U125"/>
    <mergeCell ref="V124:V125"/>
    <mergeCell ref="X124:X125"/>
    <mergeCell ref="B126:B127"/>
    <mergeCell ref="U126:U127"/>
    <mergeCell ref="V126:V127"/>
    <mergeCell ref="X126:X127"/>
    <mergeCell ref="B132:B133"/>
    <mergeCell ref="U132:U133"/>
    <mergeCell ref="V132:V133"/>
    <mergeCell ref="X132:X133"/>
    <mergeCell ref="B134:B135"/>
    <mergeCell ref="U134:U135"/>
    <mergeCell ref="V134:V135"/>
    <mergeCell ref="X134:X135"/>
    <mergeCell ref="B128:B129"/>
    <mergeCell ref="U128:U129"/>
    <mergeCell ref="V128:V129"/>
    <mergeCell ref="X128:X129"/>
    <mergeCell ref="B130:B131"/>
    <mergeCell ref="U130:U131"/>
    <mergeCell ref="V130:V131"/>
    <mergeCell ref="T148:T149"/>
    <mergeCell ref="B140:B141"/>
    <mergeCell ref="U140:U141"/>
    <mergeCell ref="V140:V141"/>
    <mergeCell ref="B142:C142"/>
    <mergeCell ref="B143:H143"/>
    <mergeCell ref="B147:T147"/>
    <mergeCell ref="B136:B137"/>
    <mergeCell ref="U136:U137"/>
    <mergeCell ref="V136:V137"/>
    <mergeCell ref="B138:B139"/>
    <mergeCell ref="U138:U139"/>
    <mergeCell ref="V138:V139"/>
    <mergeCell ref="B150:B151"/>
    <mergeCell ref="B152:B153"/>
    <mergeCell ref="A154:A155"/>
    <mergeCell ref="B154:B155"/>
    <mergeCell ref="B156:C156"/>
    <mergeCell ref="B158:M158"/>
    <mergeCell ref="B148:B149"/>
    <mergeCell ref="C148:C149"/>
    <mergeCell ref="D148:K148"/>
    <mergeCell ref="L148:L149"/>
    <mergeCell ref="M148:S148"/>
    <mergeCell ref="C162:G162"/>
    <mergeCell ref="H162:I162"/>
    <mergeCell ref="J162:K162"/>
    <mergeCell ref="L162:M162"/>
    <mergeCell ref="N162:O162"/>
    <mergeCell ref="P162:Q162"/>
    <mergeCell ref="C159:Q159"/>
    <mergeCell ref="C160:G161"/>
    <mergeCell ref="H160:K160"/>
    <mergeCell ref="L160:O160"/>
    <mergeCell ref="P160:Q161"/>
    <mergeCell ref="H161:I161"/>
    <mergeCell ref="J161:K161"/>
    <mergeCell ref="L161:M161"/>
    <mergeCell ref="N161:O161"/>
    <mergeCell ref="C164:G164"/>
    <mergeCell ref="H164:I164"/>
    <mergeCell ref="J164:K164"/>
    <mergeCell ref="L164:M164"/>
    <mergeCell ref="N164:O164"/>
    <mergeCell ref="P164:Q164"/>
    <mergeCell ref="C163:G163"/>
    <mergeCell ref="H163:I163"/>
    <mergeCell ref="J163:K163"/>
    <mergeCell ref="L163:M163"/>
    <mergeCell ref="N163:O163"/>
    <mergeCell ref="P163:Q163"/>
    <mergeCell ref="C166:G166"/>
    <mergeCell ref="H166:I166"/>
    <mergeCell ref="J166:K166"/>
    <mergeCell ref="L166:M166"/>
    <mergeCell ref="N166:O166"/>
    <mergeCell ref="P166:Q166"/>
    <mergeCell ref="C165:G165"/>
    <mergeCell ref="H165:I165"/>
    <mergeCell ref="J165:K165"/>
    <mergeCell ref="L165:M165"/>
    <mergeCell ref="N165:O165"/>
    <mergeCell ref="P165:Q165"/>
    <mergeCell ref="C169:G169"/>
    <mergeCell ref="H169:I169"/>
    <mergeCell ref="J169:K169"/>
    <mergeCell ref="L169:M169"/>
    <mergeCell ref="N169:O169"/>
    <mergeCell ref="P169:Q169"/>
    <mergeCell ref="T167:U167"/>
    <mergeCell ref="C168:G168"/>
    <mergeCell ref="H168:I168"/>
    <mergeCell ref="J168:K168"/>
    <mergeCell ref="L168:M168"/>
    <mergeCell ref="N168:O168"/>
    <mergeCell ref="P168:Q168"/>
    <mergeCell ref="C167:G167"/>
    <mergeCell ref="H167:I167"/>
    <mergeCell ref="J167:K167"/>
    <mergeCell ref="L167:M167"/>
    <mergeCell ref="N167:O167"/>
    <mergeCell ref="P167:Q167"/>
  </mergeCells>
  <printOptions horizontalCentered="1" verticalCentered="1"/>
  <pageMargins left="0.19685039370078741" right="0" top="0.15748031496062992" bottom="0.19685039370078741" header="0.15748031496062992" footer="0.27559055118110237"/>
  <pageSetup paperSize="9" scale="80" orientation="landscape" r:id="rId1"/>
  <headerFooter alignWithMargins="0"/>
  <rowBreaks count="4" manualBreakCount="4">
    <brk id="46" max="16383" man="1"/>
    <brk id="48" max="16383" man="1"/>
    <brk id="94" max="16383" man="1"/>
    <brk id="145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92D050"/>
  </sheetPr>
  <dimension ref="M2:M37"/>
  <sheetViews>
    <sheetView rightToLeft="1" topLeftCell="A22" zoomScaleNormal="100" workbookViewId="0">
      <selection activeCell="Q20" sqref="Q20"/>
    </sheetView>
  </sheetViews>
  <sheetFormatPr defaultColWidth="9" defaultRowHeight="18" x14ac:dyDescent="0.5"/>
  <cols>
    <col min="1" max="16384" width="9" style="682"/>
  </cols>
  <sheetData>
    <row r="2" spans="13:13" ht="19.5" customHeight="1" x14ac:dyDescent="0.5"/>
    <row r="3" spans="13:13" ht="19.5" customHeight="1" x14ac:dyDescent="0.5"/>
    <row r="4" spans="13:13" ht="19.5" customHeight="1" x14ac:dyDescent="0.5"/>
    <row r="5" spans="13:13" ht="19.5" customHeight="1" x14ac:dyDescent="0.5"/>
    <row r="6" spans="13:13" ht="19.5" customHeight="1" x14ac:dyDescent="0.5"/>
    <row r="7" spans="13:13" ht="19.5" customHeight="1" x14ac:dyDescent="0.5"/>
    <row r="8" spans="13:13" ht="19.5" customHeight="1" x14ac:dyDescent="0.5"/>
    <row r="9" spans="13:13" ht="19.5" customHeight="1" x14ac:dyDescent="0.5"/>
    <row r="10" spans="13:13" ht="19.5" customHeight="1" x14ac:dyDescent="0.5"/>
    <row r="11" spans="13:13" ht="19.5" customHeight="1" x14ac:dyDescent="0.5"/>
    <row r="12" spans="13:13" ht="19.5" customHeight="1" x14ac:dyDescent="0.5"/>
    <row r="13" spans="13:13" ht="19.5" customHeight="1" x14ac:dyDescent="0.5"/>
    <row r="14" spans="13:13" ht="19.5" customHeight="1" x14ac:dyDescent="0.5"/>
    <row r="15" spans="13:13" ht="19.5" customHeight="1" x14ac:dyDescent="0.5"/>
    <row r="16" spans="13:13" ht="19.5" customHeight="1" x14ac:dyDescent="0.5">
      <c r="M16" s="740"/>
    </row>
    <row r="17" spans="13:13" ht="19.5" customHeight="1" x14ac:dyDescent="0.5">
      <c r="M17" s="740"/>
    </row>
    <row r="18" spans="13:13" ht="60" customHeight="1" x14ac:dyDescent="0.5">
      <c r="M18" s="740"/>
    </row>
    <row r="19" spans="13:13" ht="19.5" customHeight="1" x14ac:dyDescent="0.5">
      <c r="M19" s="740"/>
    </row>
    <row r="20" spans="13:13" ht="19.5" customHeight="1" x14ac:dyDescent="0.5">
      <c r="M20" s="740"/>
    </row>
    <row r="21" spans="13:13" ht="19.5" customHeight="1" x14ac:dyDescent="0.5">
      <c r="M21" s="740"/>
    </row>
    <row r="22" spans="13:13" ht="19.5" customHeight="1" x14ac:dyDescent="0.5">
      <c r="M22" s="740"/>
    </row>
    <row r="23" spans="13:13" ht="19.5" customHeight="1" x14ac:dyDescent="0.5">
      <c r="M23" s="740"/>
    </row>
    <row r="24" spans="13:13" ht="19.5" customHeight="1" x14ac:dyDescent="0.5">
      <c r="M24" s="740"/>
    </row>
    <row r="25" spans="13:13" ht="19.5" customHeight="1" x14ac:dyDescent="0.5">
      <c r="M25" s="740"/>
    </row>
    <row r="26" spans="13:13" ht="19.5" customHeight="1" x14ac:dyDescent="0.5">
      <c r="M26" s="740"/>
    </row>
    <row r="27" spans="13:13" ht="19.5" customHeight="1" x14ac:dyDescent="0.5">
      <c r="M27" s="740"/>
    </row>
    <row r="28" spans="13:13" ht="19.5" customHeight="1" x14ac:dyDescent="0.5">
      <c r="M28" s="740"/>
    </row>
    <row r="29" spans="13:13" ht="19.5" customHeight="1" x14ac:dyDescent="0.5"/>
    <row r="30" spans="13:13" ht="19.5" customHeight="1" x14ac:dyDescent="0.5"/>
    <row r="31" spans="13:13" ht="19.5" customHeight="1" x14ac:dyDescent="0.5"/>
    <row r="32" spans="13:13" ht="19.5" customHeight="1" x14ac:dyDescent="0.5"/>
    <row r="33" ht="19.5" customHeight="1" x14ac:dyDescent="0.5"/>
    <row r="34" ht="19.5" customHeight="1" x14ac:dyDescent="0.5"/>
    <row r="35" ht="19.5" customHeight="1" x14ac:dyDescent="0.5"/>
    <row r="36" ht="19.5" customHeight="1" x14ac:dyDescent="0.5"/>
    <row r="37" ht="19.5" customHeight="1" x14ac:dyDescent="0.5"/>
  </sheetData>
  <printOptions horizontalCentered="1" verticalCentered="1"/>
  <pageMargins left="0.74803149606299213" right="0.74803149606299213" top="0.35433070866141736" bottom="0.98425196850393704" header="0.15748031496062992" footer="0.9055118110236221"/>
  <pageSetup paperSize="9" scale="80" firstPageNumber="91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92D050"/>
  </sheetPr>
  <dimension ref="A1:A39"/>
  <sheetViews>
    <sheetView rightToLeft="1" topLeftCell="A10" zoomScaleNormal="100" workbookViewId="0">
      <selection activeCell="N27" sqref="N27"/>
    </sheetView>
  </sheetViews>
  <sheetFormatPr defaultColWidth="9" defaultRowHeight="18" x14ac:dyDescent="0.5"/>
  <cols>
    <col min="1" max="16384" width="9" style="682"/>
  </cols>
  <sheetData>
    <row r="1" ht="19.5" customHeight="1" x14ac:dyDescent="0.5"/>
    <row r="2" ht="19.5" customHeight="1" x14ac:dyDescent="0.5"/>
    <row r="3" ht="19.5" customHeight="1" x14ac:dyDescent="0.5"/>
    <row r="4" ht="19.5" customHeight="1" x14ac:dyDescent="0.5"/>
    <row r="5" ht="19.5" customHeight="1" x14ac:dyDescent="0.5"/>
    <row r="6" ht="19.5" customHeight="1" x14ac:dyDescent="0.5"/>
    <row r="7" ht="19.5" customHeight="1" x14ac:dyDescent="0.5"/>
    <row r="8" ht="19.5" customHeight="1" x14ac:dyDescent="0.5"/>
    <row r="9" ht="19.5" customHeight="1" x14ac:dyDescent="0.5"/>
    <row r="10" ht="19.5" customHeight="1" x14ac:dyDescent="0.5"/>
    <row r="11" ht="19.5" customHeight="1" x14ac:dyDescent="0.5"/>
    <row r="12" ht="19.5" customHeight="1" x14ac:dyDescent="0.5"/>
    <row r="13" ht="19.5" customHeight="1" x14ac:dyDescent="0.5"/>
    <row r="14" ht="19.5" customHeight="1" x14ac:dyDescent="0.5"/>
    <row r="15" ht="19.5" customHeight="1" x14ac:dyDescent="0.5"/>
    <row r="16" ht="19.5" customHeight="1" x14ac:dyDescent="0.5"/>
    <row r="17" ht="19.5" customHeight="1" x14ac:dyDescent="0.5"/>
    <row r="18" ht="19.5" customHeight="1" x14ac:dyDescent="0.5"/>
    <row r="19" ht="19.5" customHeight="1" x14ac:dyDescent="0.5"/>
    <row r="20" ht="19.5" customHeight="1" x14ac:dyDescent="0.5"/>
    <row r="21" ht="19.5" customHeight="1" x14ac:dyDescent="0.5"/>
    <row r="22" ht="19.5" customHeight="1" x14ac:dyDescent="0.5"/>
    <row r="23" ht="19.5" customHeight="1" x14ac:dyDescent="0.5"/>
    <row r="24" ht="19.5" customHeight="1" x14ac:dyDescent="0.5"/>
    <row r="25" ht="19.5" customHeight="1" x14ac:dyDescent="0.5"/>
    <row r="26" ht="19.5" customHeight="1" x14ac:dyDescent="0.5"/>
    <row r="27" ht="19.5" customHeight="1" x14ac:dyDescent="0.5"/>
    <row r="28" ht="19.5" customHeight="1" x14ac:dyDescent="0.5"/>
    <row r="29" ht="19.5" customHeight="1" x14ac:dyDescent="0.5"/>
    <row r="30" ht="19.5" customHeight="1" x14ac:dyDescent="0.5"/>
    <row r="31" ht="19.5" customHeight="1" x14ac:dyDescent="0.5"/>
    <row r="32" ht="19.5" customHeight="1" x14ac:dyDescent="0.5"/>
    <row r="33" ht="19.5" customHeight="1" x14ac:dyDescent="0.5"/>
    <row r="34" ht="19.5" customHeight="1" x14ac:dyDescent="0.5"/>
    <row r="35" ht="19.5" customHeight="1" x14ac:dyDescent="0.5"/>
    <row r="36" ht="19.5" customHeight="1" x14ac:dyDescent="0.5"/>
    <row r="37" ht="19.5" customHeight="1" x14ac:dyDescent="0.5"/>
    <row r="38" ht="19.5" customHeight="1" x14ac:dyDescent="0.5"/>
    <row r="39" ht="19.5" customHeight="1" x14ac:dyDescent="0.5"/>
  </sheetData>
  <printOptions horizontalCentered="1" verticalCentered="1"/>
  <pageMargins left="0.74803149606299213" right="0.74803149606299213" top="0.55118110236220474" bottom="0.98425196850393704" header="0.51181102362204722" footer="0.98425196850393704"/>
  <pageSetup paperSize="9" scale="95" firstPageNumber="92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92D050"/>
  </sheetPr>
  <dimension ref="A1:G16"/>
  <sheetViews>
    <sheetView rightToLeft="1" zoomScale="130" zoomScaleNormal="130" workbookViewId="0">
      <selection activeCell="A2" sqref="A2:A3"/>
    </sheetView>
  </sheetViews>
  <sheetFormatPr defaultColWidth="7.875" defaultRowHeight="15.75" x14ac:dyDescent="0.4"/>
  <cols>
    <col min="1" max="1" width="36.125" style="741" customWidth="1"/>
    <col min="2" max="2" width="7.75" style="741" customWidth="1"/>
    <col min="3" max="3" width="10.75" style="741" customWidth="1"/>
    <col min="4" max="4" width="7.375" style="741" customWidth="1"/>
    <col min="5" max="5" width="8.75" style="741" customWidth="1"/>
    <col min="6" max="6" width="9.25" style="741" customWidth="1"/>
    <col min="7" max="7" width="11.125" style="741" customWidth="1"/>
    <col min="8" max="16384" width="7.875" style="741"/>
  </cols>
  <sheetData>
    <row r="1" spans="1:7" ht="21.75" customHeight="1" thickBot="1" x14ac:dyDescent="0.45">
      <c r="A1" s="3293" t="s">
        <v>1928</v>
      </c>
      <c r="B1" s="3293"/>
      <c r="C1" s="3293"/>
      <c r="D1" s="3293"/>
      <c r="E1" s="3293"/>
      <c r="F1" s="3293"/>
      <c r="G1" s="3293"/>
    </row>
    <row r="2" spans="1:7" ht="21.75" customHeight="1" x14ac:dyDescent="0.4">
      <c r="A2" s="3294" t="s">
        <v>1032</v>
      </c>
      <c r="B2" s="3296">
        <v>1402</v>
      </c>
      <c r="C2" s="3297"/>
      <c r="D2" s="3298"/>
      <c r="E2" s="3296">
        <v>1403</v>
      </c>
      <c r="F2" s="3297"/>
      <c r="G2" s="3299"/>
    </row>
    <row r="3" spans="1:7" ht="63" customHeight="1" thickBot="1" x14ac:dyDescent="0.45">
      <c r="A3" s="3295"/>
      <c r="B3" s="2088" t="s">
        <v>1033</v>
      </c>
      <c r="C3" s="2089" t="s">
        <v>1034</v>
      </c>
      <c r="D3" s="2090" t="s">
        <v>1035</v>
      </c>
      <c r="E3" s="2088" t="s">
        <v>1033</v>
      </c>
      <c r="F3" s="2089" t="s">
        <v>1034</v>
      </c>
      <c r="G3" s="2091" t="s">
        <v>1035</v>
      </c>
    </row>
    <row r="4" spans="1:7" ht="54" customHeight="1" x14ac:dyDescent="0.4">
      <c r="A4" s="2084" t="s">
        <v>1036</v>
      </c>
      <c r="B4" s="2085">
        <v>40358</v>
      </c>
      <c r="C4" s="2086">
        <v>698720</v>
      </c>
      <c r="D4" s="2086">
        <v>1451</v>
      </c>
      <c r="E4" s="2086">
        <v>46597</v>
      </c>
      <c r="F4" s="2086">
        <v>723452</v>
      </c>
      <c r="G4" s="2087">
        <v>1677</v>
      </c>
    </row>
    <row r="5" spans="1:7" ht="22.5" customHeight="1" x14ac:dyDescent="0.45">
      <c r="A5" s="2076" t="s">
        <v>1037</v>
      </c>
      <c r="B5" s="2080">
        <v>14560</v>
      </c>
      <c r="C5" s="744">
        <v>76060</v>
      </c>
      <c r="D5" s="743">
        <v>556</v>
      </c>
      <c r="E5" s="745">
        <v>17580</v>
      </c>
      <c r="F5" s="746">
        <v>89904</v>
      </c>
      <c r="G5" s="2079">
        <v>587</v>
      </c>
    </row>
    <row r="6" spans="1:7" ht="22.5" customHeight="1" x14ac:dyDescent="0.45">
      <c r="A6" s="2076" t="s">
        <v>1038</v>
      </c>
      <c r="B6" s="2080">
        <v>2866</v>
      </c>
      <c r="C6" s="744">
        <v>339608</v>
      </c>
      <c r="D6" s="743">
        <v>125</v>
      </c>
      <c r="E6" s="742">
        <v>2898</v>
      </c>
      <c r="F6" s="742">
        <v>340022</v>
      </c>
      <c r="G6" s="2079">
        <v>127</v>
      </c>
    </row>
    <row r="7" spans="1:7" ht="22.5" customHeight="1" x14ac:dyDescent="0.4">
      <c r="A7" s="2076" t="s">
        <v>1039</v>
      </c>
      <c r="B7" s="2078">
        <v>410</v>
      </c>
      <c r="C7" s="742">
        <v>10076</v>
      </c>
      <c r="D7" s="742">
        <v>25</v>
      </c>
      <c r="E7" s="742">
        <v>270</v>
      </c>
      <c r="F7" s="742">
        <v>10946</v>
      </c>
      <c r="G7" s="2079">
        <v>28</v>
      </c>
    </row>
    <row r="8" spans="1:7" ht="22.5" customHeight="1" x14ac:dyDescent="0.4">
      <c r="A8" s="2076" t="s">
        <v>1040</v>
      </c>
      <c r="B8" s="2078">
        <v>102</v>
      </c>
      <c r="C8" s="742">
        <v>28276</v>
      </c>
      <c r="D8" s="742">
        <v>15</v>
      </c>
      <c r="E8" s="742">
        <v>285</v>
      </c>
      <c r="F8" s="742">
        <v>21098</v>
      </c>
      <c r="G8" s="2079">
        <v>23</v>
      </c>
    </row>
    <row r="9" spans="1:7" ht="22.5" customHeight="1" x14ac:dyDescent="0.4">
      <c r="A9" s="2076" t="s">
        <v>1041</v>
      </c>
      <c r="B9" s="2078">
        <v>1407</v>
      </c>
      <c r="C9" s="742">
        <v>10350</v>
      </c>
      <c r="D9" s="742">
        <v>51</v>
      </c>
      <c r="E9" s="742">
        <v>622</v>
      </c>
      <c r="F9" s="742">
        <v>10202</v>
      </c>
      <c r="G9" s="2079">
        <v>44</v>
      </c>
    </row>
    <row r="10" spans="1:7" ht="22.5" customHeight="1" x14ac:dyDescent="0.4">
      <c r="A10" s="2076" t="s">
        <v>1042</v>
      </c>
      <c r="B10" s="2078">
        <v>101</v>
      </c>
      <c r="C10" s="742">
        <v>1026</v>
      </c>
      <c r="D10" s="742">
        <v>6</v>
      </c>
      <c r="E10" s="742">
        <v>897</v>
      </c>
      <c r="F10" s="742">
        <v>4676</v>
      </c>
      <c r="G10" s="2079">
        <v>8</v>
      </c>
    </row>
    <row r="11" spans="1:7" ht="22.5" customHeight="1" thickBot="1" x14ac:dyDescent="0.45">
      <c r="A11" s="2077" t="s">
        <v>1043</v>
      </c>
      <c r="B11" s="2081">
        <v>25502</v>
      </c>
      <c r="C11" s="2073">
        <v>108220</v>
      </c>
      <c r="D11" s="2073">
        <v>131</v>
      </c>
      <c r="E11" s="2073">
        <v>17768</v>
      </c>
      <c r="F11" s="2073">
        <v>80282</v>
      </c>
      <c r="G11" s="2082">
        <v>140</v>
      </c>
    </row>
    <row r="12" spans="1:7" ht="27.75" customHeight="1" thickBot="1" x14ac:dyDescent="0.45">
      <c r="A12" s="2072" t="s">
        <v>1009</v>
      </c>
      <c r="B12" s="2083">
        <f t="shared" ref="B12:D12" si="0">SUM(B4:B11)</f>
        <v>85306</v>
      </c>
      <c r="C12" s="2074">
        <f t="shared" si="0"/>
        <v>1272336</v>
      </c>
      <c r="D12" s="2074">
        <f t="shared" si="0"/>
        <v>2360</v>
      </c>
      <c r="E12" s="2074">
        <f>SUM(E4:E11)</f>
        <v>86917</v>
      </c>
      <c r="F12" s="2074">
        <f>SUM(F4:F11)</f>
        <v>1280582</v>
      </c>
      <c r="G12" s="2075">
        <f>SUM(G4:G11)</f>
        <v>2634</v>
      </c>
    </row>
    <row r="13" spans="1:7" ht="18.75" customHeight="1" x14ac:dyDescent="0.4"/>
    <row r="16" spans="1:7" ht="19.5" x14ac:dyDescent="0.4">
      <c r="F16" s="748"/>
      <c r="G16" s="748"/>
    </row>
  </sheetData>
  <mergeCells count="4">
    <mergeCell ref="A1:G1"/>
    <mergeCell ref="A2:A3"/>
    <mergeCell ref="B2:D2"/>
    <mergeCell ref="E2:G2"/>
  </mergeCells>
  <printOptions horizontalCentered="1" verticalCentered="1"/>
  <pageMargins left="0" right="0.15748031496062992" top="0.82677165354330717" bottom="0.98425196850393704" header="0.35433070866141736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F17"/>
  <sheetViews>
    <sheetView rightToLeft="1" workbookViewId="0">
      <selection activeCell="C20" sqref="C20"/>
    </sheetView>
  </sheetViews>
  <sheetFormatPr defaultColWidth="7" defaultRowHeight="15.75" x14ac:dyDescent="0.4"/>
  <cols>
    <col min="1" max="2" width="12.375" style="90" customWidth="1"/>
    <col min="3" max="4" width="16.875" style="90" customWidth="1"/>
    <col min="5" max="5" width="12.375" style="90" customWidth="1"/>
    <col min="6" max="16384" width="7" style="90"/>
  </cols>
  <sheetData>
    <row r="1" spans="1:6" ht="51.75" customHeight="1" thickBot="1" x14ac:dyDescent="0.45">
      <c r="A1" s="2738" t="s">
        <v>405</v>
      </c>
      <c r="B1" s="2738"/>
      <c r="C1" s="2738"/>
      <c r="D1" s="2738"/>
      <c r="E1" s="2738"/>
    </row>
    <row r="2" spans="1:6" ht="22.5" customHeight="1" x14ac:dyDescent="0.4">
      <c r="A2" s="2732" t="s">
        <v>118</v>
      </c>
      <c r="B2" s="2739"/>
      <c r="C2" s="2732" t="s">
        <v>38</v>
      </c>
      <c r="D2" s="2742"/>
      <c r="E2" s="2743" t="s">
        <v>406</v>
      </c>
    </row>
    <row r="3" spans="1:6" ht="26.25" customHeight="1" thickBot="1" x14ac:dyDescent="0.45">
      <c r="A3" s="2740"/>
      <c r="B3" s="2741"/>
      <c r="C3" s="124">
        <v>1402</v>
      </c>
      <c r="D3" s="124">
        <v>1403</v>
      </c>
      <c r="E3" s="2744"/>
    </row>
    <row r="4" spans="1:6" ht="28.5" customHeight="1" x14ac:dyDescent="0.4">
      <c r="A4" s="2732" t="s">
        <v>218</v>
      </c>
      <c r="B4" s="125" t="s">
        <v>407</v>
      </c>
      <c r="C4" s="126">
        <v>4839</v>
      </c>
      <c r="D4" s="126">
        <v>3396</v>
      </c>
      <c r="E4" s="127">
        <f>(D4-C4)/C4</f>
        <v>-0.29820210787352758</v>
      </c>
      <c r="F4" s="96">
        <f>+D4-'31'!G50</f>
        <v>0</v>
      </c>
    </row>
    <row r="5" spans="1:6" ht="28.5" customHeight="1" x14ac:dyDescent="0.4">
      <c r="A5" s="2733"/>
      <c r="B5" s="128" t="s">
        <v>408</v>
      </c>
      <c r="C5" s="129">
        <v>24398</v>
      </c>
      <c r="D5" s="129">
        <v>37304</v>
      </c>
      <c r="E5" s="130">
        <f t="shared" ref="E5:E13" si="0">(D5-C5)/C5</f>
        <v>0.52897778506434956</v>
      </c>
    </row>
    <row r="6" spans="1:6" ht="28.5" customHeight="1" thickBot="1" x14ac:dyDescent="0.45">
      <c r="A6" s="2734"/>
      <c r="B6" s="131" t="s">
        <v>409</v>
      </c>
      <c r="C6" s="132">
        <f>SUM(C4:C5)</f>
        <v>29237</v>
      </c>
      <c r="D6" s="132">
        <f>SUM(D4:D5)</f>
        <v>40700</v>
      </c>
      <c r="E6" s="133">
        <f t="shared" si="0"/>
        <v>0.39207168998187231</v>
      </c>
      <c r="F6" s="96">
        <f>+D6-'31'!H50</f>
        <v>0</v>
      </c>
    </row>
    <row r="7" spans="1:6" ht="28.5" customHeight="1" x14ac:dyDescent="0.4">
      <c r="A7" s="2745" t="s">
        <v>410</v>
      </c>
      <c r="B7" s="134" t="s">
        <v>407</v>
      </c>
      <c r="C7" s="126">
        <v>284933</v>
      </c>
      <c r="D7" s="126">
        <v>201597</v>
      </c>
      <c r="E7" s="127">
        <f t="shared" si="0"/>
        <v>-0.29247577500675598</v>
      </c>
      <c r="F7" s="96">
        <f>+D7-'31'!G51</f>
        <v>0</v>
      </c>
    </row>
    <row r="8" spans="1:6" ht="28.5" customHeight="1" x14ac:dyDescent="0.4">
      <c r="A8" s="2733"/>
      <c r="B8" s="128" t="s">
        <v>408</v>
      </c>
      <c r="C8" s="129">
        <v>1285501</v>
      </c>
      <c r="D8" s="129">
        <v>2172186</v>
      </c>
      <c r="E8" s="130">
        <f t="shared" si="0"/>
        <v>0.68975831212888983</v>
      </c>
    </row>
    <row r="9" spans="1:6" ht="28.5" customHeight="1" thickBot="1" x14ac:dyDescent="0.45">
      <c r="A9" s="2740"/>
      <c r="B9" s="135" t="s">
        <v>409</v>
      </c>
      <c r="C9" s="136">
        <f>SUM(C7:C8)</f>
        <v>1570434</v>
      </c>
      <c r="D9" s="136">
        <f>SUM(D7:D8)</f>
        <v>2373783</v>
      </c>
      <c r="E9" s="133">
        <f t="shared" si="0"/>
        <v>0.51154585292982702</v>
      </c>
      <c r="F9" s="96">
        <f>+D9-'31'!H51</f>
        <v>0</v>
      </c>
    </row>
    <row r="10" spans="1:6" ht="28.5" customHeight="1" x14ac:dyDescent="0.4">
      <c r="A10" s="2732" t="s">
        <v>220</v>
      </c>
      <c r="B10" s="125" t="s">
        <v>407</v>
      </c>
      <c r="C10" s="126">
        <v>55535798</v>
      </c>
      <c r="D10" s="126">
        <v>91616408</v>
      </c>
      <c r="E10" s="127">
        <f t="shared" si="0"/>
        <v>0.64968203031853433</v>
      </c>
      <c r="F10" s="96">
        <f>+D10-'31'!G52</f>
        <v>0</v>
      </c>
    </row>
    <row r="11" spans="1:6" ht="28.5" customHeight="1" x14ac:dyDescent="0.4">
      <c r="A11" s="2733"/>
      <c r="B11" s="128" t="s">
        <v>408</v>
      </c>
      <c r="C11" s="129">
        <v>1469813582</v>
      </c>
      <c r="D11" s="129">
        <v>3006580082</v>
      </c>
      <c r="E11" s="130">
        <f t="shared" si="0"/>
        <v>1.045551979393806</v>
      </c>
    </row>
    <row r="12" spans="1:6" ht="28.5" customHeight="1" thickBot="1" x14ac:dyDescent="0.45">
      <c r="A12" s="2734"/>
      <c r="B12" s="131" t="s">
        <v>409</v>
      </c>
      <c r="C12" s="132">
        <f>SUM(C10:C11)</f>
        <v>1525349380</v>
      </c>
      <c r="D12" s="132">
        <f>SUM(D10:D11)</f>
        <v>3098196490</v>
      </c>
      <c r="E12" s="133">
        <f t="shared" si="0"/>
        <v>1.0311389184817448</v>
      </c>
      <c r="F12" s="96">
        <f>+D12-'31'!H52</f>
        <v>0</v>
      </c>
    </row>
    <row r="13" spans="1:6" ht="28.5" customHeight="1" thickBot="1" x14ac:dyDescent="0.45">
      <c r="A13" s="2735" t="s">
        <v>182</v>
      </c>
      <c r="B13" s="2736"/>
      <c r="C13" s="137">
        <f>C12/C9</f>
        <v>971.29161747644287</v>
      </c>
      <c r="D13" s="137">
        <f>D12/D9</f>
        <v>1305.1725831720928</v>
      </c>
      <c r="E13" s="138">
        <f t="shared" si="0"/>
        <v>0.34374945658763256</v>
      </c>
    </row>
    <row r="14" spans="1:6" x14ac:dyDescent="0.4">
      <c r="A14" s="2737" t="s">
        <v>411</v>
      </c>
      <c r="B14" s="2737"/>
    </row>
    <row r="16" spans="1:6" ht="21" x14ac:dyDescent="0.4">
      <c r="D16" s="139">
        <v>2852184968</v>
      </c>
    </row>
    <row r="17" spans="4:4" x14ac:dyDescent="0.4">
      <c r="D17" s="96">
        <f>+D12-D16</f>
        <v>246011522</v>
      </c>
    </row>
  </sheetData>
  <mergeCells count="9">
    <mergeCell ref="A10:A12"/>
    <mergeCell ref="A13:B13"/>
    <mergeCell ref="A14:B14"/>
    <mergeCell ref="A1:E1"/>
    <mergeCell ref="A2:B3"/>
    <mergeCell ref="C2:D2"/>
    <mergeCell ref="E2:E3"/>
    <mergeCell ref="A4:A6"/>
    <mergeCell ref="A7:A9"/>
  </mergeCells>
  <printOptions horizontalCentered="1"/>
  <pageMargins left="0.78740157480314965" right="0.78740157480314965" top="0.78740157480314965" bottom="0.78740157480314965" header="0" footer="0"/>
  <pageSetup paperSize="9" firstPageNumber="30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92D050"/>
  </sheetPr>
  <dimension ref="A19:K32"/>
  <sheetViews>
    <sheetView rightToLeft="1" topLeftCell="A17" zoomScale="145" zoomScaleNormal="145" workbookViewId="0">
      <selection activeCell="L2" sqref="L2"/>
    </sheetView>
  </sheetViews>
  <sheetFormatPr defaultColWidth="7.875" defaultRowHeight="15" x14ac:dyDescent="0.35"/>
  <cols>
    <col min="1" max="1" width="18.375" style="749" customWidth="1"/>
    <col min="2" max="2" width="7" style="749" customWidth="1"/>
    <col min="3" max="3" width="6.375" style="749" customWidth="1"/>
    <col min="4" max="4" width="6.625" style="749" customWidth="1"/>
    <col min="5" max="5" width="10.75" style="749" customWidth="1"/>
    <col min="6" max="6" width="8.375" style="749" customWidth="1"/>
    <col min="7" max="7" width="7.25" style="749" customWidth="1"/>
    <col min="8" max="8" width="7.125" style="749" customWidth="1"/>
    <col min="9" max="9" width="7" style="749" customWidth="1"/>
    <col min="10" max="10" width="6.625" style="749" customWidth="1"/>
    <col min="11" max="11" width="5.75" style="749" customWidth="1"/>
    <col min="12" max="16384" width="7.875" style="749"/>
  </cols>
  <sheetData>
    <row r="19" spans="1:11" ht="26.25" customHeight="1" thickBot="1" x14ac:dyDescent="0.55000000000000004">
      <c r="A19" s="3307" t="s">
        <v>1929</v>
      </c>
      <c r="B19" s="3307"/>
      <c r="C19" s="3307"/>
      <c r="D19" s="3307"/>
      <c r="E19" s="3307"/>
      <c r="F19" s="3307"/>
      <c r="G19" s="3307"/>
      <c r="H19" s="3307"/>
      <c r="I19" s="3308"/>
      <c r="J19" s="3308"/>
      <c r="K19" s="3308"/>
    </row>
    <row r="20" spans="1:11" ht="22.5" customHeight="1" thickBot="1" x14ac:dyDescent="0.4">
      <c r="A20" s="747" t="s">
        <v>38</v>
      </c>
      <c r="B20" s="750">
        <v>1394</v>
      </c>
      <c r="C20" s="750">
        <v>1395</v>
      </c>
      <c r="D20" s="750">
        <v>1396</v>
      </c>
      <c r="E20" s="750">
        <v>1397</v>
      </c>
      <c r="F20" s="750">
        <v>1398</v>
      </c>
      <c r="G20" s="750">
        <v>1399</v>
      </c>
      <c r="H20" s="750">
        <v>1400</v>
      </c>
      <c r="I20" s="751">
        <v>1401</v>
      </c>
      <c r="J20" s="751">
        <v>1402</v>
      </c>
      <c r="K20" s="751">
        <v>1403</v>
      </c>
    </row>
    <row r="21" spans="1:11" ht="19.5" thickBot="1" x14ac:dyDescent="0.4">
      <c r="A21" s="752" t="s">
        <v>1044</v>
      </c>
      <c r="B21" s="753">
        <v>37760</v>
      </c>
      <c r="C21" s="753">
        <v>38054</v>
      </c>
      <c r="D21" s="753">
        <v>32638</v>
      </c>
      <c r="E21" s="753">
        <v>34355</v>
      </c>
      <c r="F21" s="753">
        <v>48607</v>
      </c>
      <c r="G21" s="753">
        <v>95472</v>
      </c>
      <c r="H21" s="750">
        <v>50690</v>
      </c>
      <c r="I21" s="751">
        <v>51156</v>
      </c>
      <c r="J21" s="751">
        <v>61302</v>
      </c>
      <c r="K21" s="751">
        <v>70499</v>
      </c>
    </row>
    <row r="24" spans="1:11" ht="15.75" x14ac:dyDescent="0.4">
      <c r="A24" s="741"/>
      <c r="B24" s="741"/>
      <c r="C24" s="741"/>
      <c r="D24" s="741"/>
      <c r="E24" s="741"/>
      <c r="F24" s="741"/>
      <c r="G24" s="741"/>
      <c r="H24" s="741"/>
      <c r="I24" s="741"/>
      <c r="J24" s="741"/>
      <c r="K24" s="741"/>
    </row>
    <row r="25" spans="1:11" ht="15.75" x14ac:dyDescent="0.4">
      <c r="A25" s="741"/>
      <c r="B25" s="741"/>
      <c r="C25" s="741"/>
      <c r="D25" s="741"/>
      <c r="E25" s="741"/>
      <c r="F25" s="741"/>
      <c r="G25" s="741"/>
      <c r="H25" s="741"/>
      <c r="I25" s="741"/>
      <c r="J25" s="741"/>
      <c r="K25" s="741"/>
    </row>
    <row r="26" spans="1:11" ht="28.5" customHeight="1" thickBot="1" x14ac:dyDescent="0.55000000000000004">
      <c r="A26" s="3309" t="s">
        <v>1930</v>
      </c>
      <c r="B26" s="3309"/>
      <c r="C26" s="3309"/>
      <c r="D26" s="3309"/>
      <c r="E26" s="3309"/>
      <c r="F26" s="3309"/>
      <c r="G26" s="3309"/>
      <c r="H26" s="3309"/>
      <c r="I26" s="3309"/>
      <c r="J26" s="3309"/>
      <c r="K26" s="3309"/>
    </row>
    <row r="27" spans="1:11" ht="38.25" customHeight="1" x14ac:dyDescent="0.35">
      <c r="A27" s="754" t="s">
        <v>1045</v>
      </c>
      <c r="B27" s="3310" t="s">
        <v>1046</v>
      </c>
      <c r="C27" s="3310"/>
      <c r="D27" s="3311" t="s">
        <v>1047</v>
      </c>
      <c r="E27" s="3312"/>
      <c r="F27" s="3310" t="s">
        <v>1048</v>
      </c>
      <c r="G27" s="3310"/>
      <c r="H27" s="3310"/>
      <c r="I27" s="3310" t="s">
        <v>1049</v>
      </c>
      <c r="J27" s="3310"/>
      <c r="K27" s="3313"/>
    </row>
    <row r="28" spans="1:11" ht="19.5" thickBot="1" x14ac:dyDescent="0.4">
      <c r="A28" s="755">
        <v>84983</v>
      </c>
      <c r="B28" s="3302">
        <v>1814</v>
      </c>
      <c r="C28" s="3302"/>
      <c r="D28" s="3302">
        <v>120</v>
      </c>
      <c r="E28" s="3302"/>
      <c r="F28" s="3302">
        <v>70499</v>
      </c>
      <c r="G28" s="3302"/>
      <c r="H28" s="3302"/>
      <c r="I28" s="3302">
        <v>16418</v>
      </c>
      <c r="J28" s="3302"/>
      <c r="K28" s="3303"/>
    </row>
    <row r="29" spans="1:11" ht="19.5" thickBot="1" x14ac:dyDescent="0.4">
      <c r="A29" s="3304">
        <v>86917</v>
      </c>
      <c r="B29" s="3305"/>
      <c r="C29" s="3305"/>
      <c r="D29" s="3305"/>
      <c r="E29" s="3305"/>
      <c r="F29" s="3305">
        <v>86917</v>
      </c>
      <c r="G29" s="3305"/>
      <c r="H29" s="3305"/>
      <c r="I29" s="3305"/>
      <c r="J29" s="3305"/>
      <c r="K29" s="3306"/>
    </row>
    <row r="30" spans="1:11" ht="15.75" x14ac:dyDescent="0.35">
      <c r="A30" s="3300"/>
      <c r="B30" s="3300"/>
      <c r="C30" s="3300"/>
      <c r="D30" s="3300"/>
      <c r="E30" s="3300"/>
      <c r="F30" s="3300"/>
      <c r="G30" s="3300"/>
      <c r="H30" s="3300"/>
      <c r="I30" s="3300"/>
      <c r="J30" s="3300"/>
      <c r="K30" s="3300"/>
    </row>
    <row r="31" spans="1:11" ht="15.75" hidden="1" customHeight="1" x14ac:dyDescent="0.4">
      <c r="A31" s="741"/>
      <c r="B31" s="741"/>
      <c r="C31" s="741"/>
      <c r="D31" s="741"/>
      <c r="E31" s="741"/>
      <c r="F31" s="741"/>
      <c r="G31" s="741"/>
      <c r="H31" s="741"/>
      <c r="I31" s="741"/>
      <c r="J31" s="741"/>
      <c r="K31" s="741"/>
    </row>
    <row r="32" spans="1:11" x14ac:dyDescent="0.35">
      <c r="A32" s="3301" t="s">
        <v>1050</v>
      </c>
      <c r="B32" s="3301"/>
      <c r="C32" s="3301"/>
      <c r="D32" s="3301"/>
      <c r="E32" s="3301"/>
      <c r="F32" s="3301"/>
      <c r="G32" s="3301"/>
      <c r="H32" s="3301"/>
      <c r="I32" s="3301"/>
      <c r="J32" s="3301"/>
      <c r="K32" s="3301"/>
    </row>
  </sheetData>
  <mergeCells count="14">
    <mergeCell ref="A19:K19"/>
    <mergeCell ref="A26:K26"/>
    <mergeCell ref="B27:C27"/>
    <mergeCell ref="D27:E27"/>
    <mergeCell ref="F27:H27"/>
    <mergeCell ref="I27:K27"/>
    <mergeCell ref="A30:K30"/>
    <mergeCell ref="A32:K32"/>
    <mergeCell ref="B28:C28"/>
    <mergeCell ref="D28:E28"/>
    <mergeCell ref="F28:H28"/>
    <mergeCell ref="I28:K28"/>
    <mergeCell ref="A29:E29"/>
    <mergeCell ref="F29:K29"/>
  </mergeCells>
  <printOptions horizontalCentered="1" verticalCentered="1"/>
  <pageMargins left="0.23622047244094491" right="0.31496062992125984" top="0.98425196850393704" bottom="0.98425196850393704" header="0.51181102362204722" footer="0.51181102362204722"/>
  <pageSetup paperSize="9" firstPageNumber="94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00B050"/>
  </sheetPr>
  <dimension ref="A1:AB23"/>
  <sheetViews>
    <sheetView rightToLeft="1" zoomScaleNormal="100" workbookViewId="0">
      <selection activeCell="A18" sqref="A18"/>
    </sheetView>
  </sheetViews>
  <sheetFormatPr defaultColWidth="7" defaultRowHeight="15.75" x14ac:dyDescent="0.4"/>
  <cols>
    <col min="1" max="1" width="7.875" style="1" bestFit="1" customWidth="1"/>
    <col min="2" max="2" width="8.875" style="1" bestFit="1" customWidth="1"/>
    <col min="3" max="3" width="6.375" style="1" bestFit="1" customWidth="1"/>
    <col min="4" max="4" width="8.625" style="1" bestFit="1" customWidth="1"/>
    <col min="5" max="5" width="8.25" style="1" bestFit="1" customWidth="1"/>
    <col min="6" max="6" width="8" style="1" bestFit="1" customWidth="1"/>
    <col min="7" max="7" width="7.875" style="1" bestFit="1" customWidth="1"/>
    <col min="8" max="8" width="8" style="1" bestFit="1" customWidth="1"/>
    <col min="9" max="9" width="7.125" style="1" bestFit="1" customWidth="1"/>
    <col min="10" max="10" width="8.375" style="1" bestFit="1" customWidth="1"/>
    <col min="11" max="11" width="7.375" style="1" bestFit="1" customWidth="1"/>
    <col min="12" max="12" width="8.125" style="1" bestFit="1" customWidth="1"/>
    <col min="13" max="13" width="8.875" style="1" bestFit="1" customWidth="1"/>
    <col min="14" max="14" width="9" style="1" bestFit="1" customWidth="1"/>
    <col min="15" max="15" width="9.125" style="1" bestFit="1" customWidth="1"/>
    <col min="16" max="16" width="8.625" style="1" bestFit="1" customWidth="1"/>
    <col min="17" max="17" width="8.125" style="1" bestFit="1" customWidth="1"/>
    <col min="18" max="18" width="9.125" style="1" bestFit="1" customWidth="1"/>
    <col min="19" max="19" width="6.875" style="1" bestFit="1" customWidth="1"/>
    <col min="20" max="21" width="7.375" style="1" bestFit="1" customWidth="1"/>
    <col min="22" max="22" width="8.5" style="1" customWidth="1"/>
    <col min="23" max="23" width="7.75" style="1" bestFit="1" customWidth="1"/>
    <col min="24" max="24" width="9.625" style="1" bestFit="1" customWidth="1"/>
    <col min="25" max="25" width="9.875" style="1" bestFit="1" customWidth="1"/>
    <col min="26" max="26" width="11.125" style="1" bestFit="1" customWidth="1"/>
    <col min="27" max="27" width="10.375" style="1" customWidth="1"/>
    <col min="28" max="28" width="14.75" style="1" bestFit="1" customWidth="1"/>
    <col min="29" max="29" width="11.125" style="1" customWidth="1"/>
    <col min="30" max="30" width="16.375" style="1" customWidth="1"/>
    <col min="31" max="31" width="13.25" style="1" customWidth="1"/>
    <col min="32" max="32" width="11.875" style="1" customWidth="1"/>
    <col min="33" max="33" width="11.125" style="1" customWidth="1"/>
    <col min="34" max="34" width="12.375" style="1" customWidth="1"/>
    <col min="35" max="36" width="10.875" style="1" customWidth="1"/>
    <col min="37" max="37" width="12.25" style="1" customWidth="1"/>
    <col min="38" max="38" width="10.25" style="1" customWidth="1"/>
    <col min="39" max="39" width="12.75" style="1" customWidth="1"/>
    <col min="40" max="40" width="11.25" style="1" customWidth="1"/>
    <col min="41" max="41" width="13.75" style="1" customWidth="1"/>
    <col min="42" max="42" width="13.375" style="1" customWidth="1"/>
    <col min="43" max="43" width="10.125" style="1" customWidth="1"/>
    <col min="44" max="44" width="12.25" style="1" customWidth="1"/>
    <col min="45" max="48" width="11.125" style="1" customWidth="1"/>
    <col min="49" max="49" width="14.25" style="1" customWidth="1"/>
    <col min="50" max="52" width="7" style="1"/>
    <col min="53" max="53" width="9.125" style="1" bestFit="1" customWidth="1"/>
    <col min="54" max="54" width="7.625" style="1" bestFit="1" customWidth="1"/>
    <col min="55" max="56" width="8.375" style="1" bestFit="1" customWidth="1"/>
    <col min="57" max="57" width="9.875" style="1" customWidth="1"/>
    <col min="58" max="59" width="8.375" style="1" bestFit="1" customWidth="1"/>
    <col min="60" max="60" width="7.625" style="1" bestFit="1" customWidth="1"/>
    <col min="61" max="61" width="7.75" style="1" customWidth="1"/>
    <col min="62" max="64" width="9.125" style="1" bestFit="1" customWidth="1"/>
    <col min="65" max="65" width="7.75" style="1" bestFit="1" customWidth="1"/>
    <col min="66" max="66" width="8.375" style="1" bestFit="1" customWidth="1"/>
    <col min="67" max="67" width="9.75" style="1" customWidth="1"/>
    <col min="68" max="68" width="13.125" style="1" customWidth="1"/>
    <col min="69" max="16384" width="7" style="1"/>
  </cols>
  <sheetData>
    <row r="1" spans="1:28" ht="26.25" x14ac:dyDescent="0.4">
      <c r="A1" s="3314" t="s">
        <v>864</v>
      </c>
      <c r="B1" s="3314"/>
      <c r="C1" s="3314"/>
      <c r="D1" s="3314"/>
      <c r="E1" s="3314"/>
      <c r="F1" s="3314"/>
      <c r="G1" s="3314"/>
      <c r="H1" s="3314"/>
      <c r="I1" s="3314"/>
      <c r="J1" s="3314"/>
      <c r="K1" s="3314"/>
      <c r="L1" s="3314"/>
      <c r="M1" s="3314"/>
      <c r="N1" s="3314"/>
      <c r="O1" s="3314"/>
      <c r="P1" s="3314"/>
      <c r="Q1" s="3314"/>
      <c r="R1" s="3314"/>
      <c r="S1" s="3314"/>
      <c r="T1" s="3314"/>
      <c r="U1" s="3314"/>
      <c r="V1" s="3314"/>
      <c r="W1" s="3314"/>
      <c r="X1" s="3314"/>
      <c r="Y1" s="3314"/>
      <c r="Z1" s="1401"/>
      <c r="AB1" s="1401"/>
    </row>
    <row r="2" spans="1:28" ht="16.5" thickBot="1" x14ac:dyDescent="0.45">
      <c r="A2" s="3315" t="s">
        <v>186</v>
      </c>
      <c r="B2" s="3315"/>
      <c r="C2" s="3315"/>
      <c r="D2" s="3315"/>
      <c r="E2" s="3315"/>
      <c r="F2" s="3315"/>
      <c r="G2" s="3315"/>
      <c r="H2" s="3315"/>
      <c r="I2" s="3315"/>
      <c r="J2" s="3315"/>
      <c r="K2" s="3315"/>
      <c r="L2" s="3315"/>
      <c r="M2" s="3315"/>
      <c r="N2" s="3315"/>
      <c r="O2" s="3315"/>
      <c r="P2" s="3315"/>
      <c r="Q2" s="3315"/>
      <c r="R2" s="3315"/>
      <c r="S2" s="3315"/>
      <c r="T2" s="3315"/>
      <c r="U2" s="3315"/>
      <c r="V2" s="3315"/>
      <c r="W2" s="3315"/>
      <c r="X2" s="3315"/>
      <c r="Y2" s="3315"/>
      <c r="Z2" s="1401"/>
    </row>
    <row r="3" spans="1:28" ht="19.5" x14ac:dyDescent="0.4">
      <c r="A3" s="3316" t="s">
        <v>118</v>
      </c>
      <c r="B3" s="3318" t="s">
        <v>865</v>
      </c>
      <c r="C3" s="3319"/>
      <c r="D3" s="3319"/>
      <c r="E3" s="3319"/>
      <c r="F3" s="3319"/>
      <c r="G3" s="3319"/>
      <c r="H3" s="3319"/>
      <c r="I3" s="3319"/>
      <c r="J3" s="3319"/>
      <c r="K3" s="3319"/>
      <c r="L3" s="3319"/>
      <c r="M3" s="3319"/>
      <c r="N3" s="3319"/>
      <c r="O3" s="3319"/>
      <c r="P3" s="3319"/>
      <c r="Q3" s="3319"/>
      <c r="R3" s="3319"/>
      <c r="S3" s="3319"/>
      <c r="T3" s="3319"/>
      <c r="U3" s="3319"/>
      <c r="V3" s="3320"/>
      <c r="W3" s="3321" t="s">
        <v>866</v>
      </c>
      <c r="X3" s="3322"/>
      <c r="Y3" s="3316" t="s">
        <v>33</v>
      </c>
    </row>
    <row r="4" spans="1:28" ht="63" customHeight="1" thickBot="1" x14ac:dyDescent="0.45">
      <c r="A4" s="3317"/>
      <c r="B4" s="1633" t="s">
        <v>107</v>
      </c>
      <c r="C4" s="1632" t="s">
        <v>112</v>
      </c>
      <c r="D4" s="1632" t="s">
        <v>198</v>
      </c>
      <c r="E4" s="1632" t="s">
        <v>102</v>
      </c>
      <c r="F4" s="1632" t="s">
        <v>199</v>
      </c>
      <c r="G4" s="1632" t="s">
        <v>113</v>
      </c>
      <c r="H4" s="1632" t="s">
        <v>589</v>
      </c>
      <c r="I4" s="1632" t="s">
        <v>590</v>
      </c>
      <c r="J4" s="1632" t="s">
        <v>99</v>
      </c>
      <c r="K4" s="1632" t="s">
        <v>110</v>
      </c>
      <c r="L4" s="1632" t="s">
        <v>201</v>
      </c>
      <c r="M4" s="1632" t="s">
        <v>97</v>
      </c>
      <c r="N4" s="1632" t="s">
        <v>95</v>
      </c>
      <c r="O4" s="1632" t="s">
        <v>101</v>
      </c>
      <c r="P4" s="1632" t="s">
        <v>106</v>
      </c>
      <c r="Q4" s="1632" t="s">
        <v>105</v>
      </c>
      <c r="R4" s="1632" t="s">
        <v>96</v>
      </c>
      <c r="S4" s="1632" t="s">
        <v>111</v>
      </c>
      <c r="T4" s="1632" t="s">
        <v>104</v>
      </c>
      <c r="U4" s="1632" t="s">
        <v>108</v>
      </c>
      <c r="V4" s="1635" t="s">
        <v>170</v>
      </c>
      <c r="W4" s="1636" t="s">
        <v>867</v>
      </c>
      <c r="X4" s="1637" t="s">
        <v>868</v>
      </c>
      <c r="Y4" s="3317"/>
      <c r="Z4" s="1402"/>
    </row>
    <row r="5" spans="1:28" ht="30" customHeight="1" x14ac:dyDescent="0.4">
      <c r="A5" s="1685" t="s">
        <v>158</v>
      </c>
      <c r="B5" s="1647">
        <f>997188089563/1000000</f>
        <v>997188.08956300002</v>
      </c>
      <c r="C5" s="1648">
        <f>25919421127/1000000</f>
        <v>25919.421127000001</v>
      </c>
      <c r="D5" s="1648">
        <f>315238010174/1000000</f>
        <v>315238.010174</v>
      </c>
      <c r="E5" s="1648">
        <f>317359818701/1000000</f>
        <v>317359.81870100001</v>
      </c>
      <c r="F5" s="1648">
        <f>67829698980/1000000</f>
        <v>67829.698980000001</v>
      </c>
      <c r="G5" s="1648">
        <f>132357376928/1000000</f>
        <v>132357.37692800001</v>
      </c>
      <c r="H5" s="1648">
        <f>72421292900/1000000</f>
        <v>72421.2929</v>
      </c>
      <c r="I5" s="1648">
        <f>2840405394/1000000</f>
        <v>2840.4053939999999</v>
      </c>
      <c r="J5" s="1648">
        <f>176769030723/1000000</f>
        <v>176769.030723</v>
      </c>
      <c r="K5" s="1648">
        <f>71069414854/1000000</f>
        <v>71069.414854000002</v>
      </c>
      <c r="L5" s="1648">
        <f>152990207834/1000000</f>
        <v>152990.207834</v>
      </c>
      <c r="M5" s="1648">
        <f>1862881621375/1000000</f>
        <v>1862881.6213750001</v>
      </c>
      <c r="N5" s="1648">
        <f>1758369960158/1000000</f>
        <v>1758369.960158</v>
      </c>
      <c r="O5" s="1648">
        <f>1674252765602/1000000</f>
        <v>1674252.7656020001</v>
      </c>
      <c r="P5" s="1648">
        <f>177708887502/1000000</f>
        <v>177708.887502</v>
      </c>
      <c r="Q5" s="1648">
        <f>153160214055/1000000</f>
        <v>153160.21405499999</v>
      </c>
      <c r="R5" s="1648">
        <f>2249598966049/1000000</f>
        <v>2249598.9660490002</v>
      </c>
      <c r="S5" s="1648">
        <f>7767524863/1000000</f>
        <v>7767.5248629999996</v>
      </c>
      <c r="T5" s="1648">
        <f>23223206972/1000000</f>
        <v>23223.206972</v>
      </c>
      <c r="U5" s="1648">
        <f>46205714039/1000000</f>
        <v>46205.714038999999</v>
      </c>
      <c r="V5" s="1649">
        <f t="shared" ref="V5:V16" si="0">SUM(B5:U5)</f>
        <v>10285151.627792997</v>
      </c>
      <c r="W5" s="1638">
        <v>611244</v>
      </c>
      <c r="X5" s="1639">
        <v>1091485</v>
      </c>
      <c r="Y5" s="1688">
        <f>X5+W5+V5</f>
        <v>11987880.627792997</v>
      </c>
    </row>
    <row r="6" spans="1:28" ht="30" customHeight="1" x14ac:dyDescent="0.4">
      <c r="A6" s="1686" t="s">
        <v>159</v>
      </c>
      <c r="B6" s="1650">
        <f>863767238702/1000000</f>
        <v>863767.238702</v>
      </c>
      <c r="C6" s="1651">
        <f>24541914675/1000000</f>
        <v>24541.914675</v>
      </c>
      <c r="D6" s="1651">
        <f>363355647532/1000000</f>
        <v>363355.64753199997</v>
      </c>
      <c r="E6" s="1651">
        <f>295369773515/1000000</f>
        <v>295369.77351500001</v>
      </c>
      <c r="F6" s="1651">
        <f>56928755646/1000000</f>
        <v>56928.755645999998</v>
      </c>
      <c r="G6" s="1651">
        <f>98193744990/1000000</f>
        <v>98193.744990000007</v>
      </c>
      <c r="H6" s="1651">
        <f>89397285867/1000000</f>
        <v>89397.285866999999</v>
      </c>
      <c r="I6" s="1651">
        <f>13436621309/1000000</f>
        <v>13436.621309</v>
      </c>
      <c r="J6" s="1651">
        <f>185960806839/1000000</f>
        <v>185960.806839</v>
      </c>
      <c r="K6" s="1651">
        <f>32045508043/1000000</f>
        <v>32045.508043000002</v>
      </c>
      <c r="L6" s="1651">
        <f>133762724098/1000000</f>
        <v>133762.72409800001</v>
      </c>
      <c r="M6" s="1651">
        <f>1882759674326/1000000</f>
        <v>1882759.674326</v>
      </c>
      <c r="N6" s="1651">
        <f>1682030434978/1000000</f>
        <v>1682030.4349779999</v>
      </c>
      <c r="O6" s="1651">
        <f>1538573363782/1000000</f>
        <v>1538573.363782</v>
      </c>
      <c r="P6" s="1651">
        <f>173721950581/1000000</f>
        <v>173721.95058100001</v>
      </c>
      <c r="Q6" s="1651">
        <f>183033664573/1000000</f>
        <v>183033.66457299999</v>
      </c>
      <c r="R6" s="1651">
        <f>1930726165906/1000000</f>
        <v>1930726.165906</v>
      </c>
      <c r="S6" s="1651">
        <f>38566955709/1000000</f>
        <v>38566.955709000002</v>
      </c>
      <c r="T6" s="1651">
        <f>18781438331/1000000</f>
        <v>18781.438331000001</v>
      </c>
      <c r="U6" s="1651">
        <f>85013170271/1000000</f>
        <v>85013.170270999995</v>
      </c>
      <c r="V6" s="1652">
        <f t="shared" si="0"/>
        <v>9689966.8396729995</v>
      </c>
      <c r="W6" s="1640">
        <v>711303</v>
      </c>
      <c r="X6" s="1641">
        <v>1094144</v>
      </c>
      <c r="Y6" s="1689">
        <f t="shared" ref="Y6:Y17" si="1">X6+W6+V6</f>
        <v>11495413.839672999</v>
      </c>
    </row>
    <row r="7" spans="1:28" ht="30" customHeight="1" x14ac:dyDescent="0.4">
      <c r="A7" s="1686" t="s">
        <v>160</v>
      </c>
      <c r="B7" s="1650">
        <f>944642486022/1000000</f>
        <v>944642.48602199997</v>
      </c>
      <c r="C7" s="1651">
        <f>33903737992/1000000</f>
        <v>33903.737992000002</v>
      </c>
      <c r="D7" s="1651">
        <f>363230607689/1000000</f>
        <v>363230.60768900003</v>
      </c>
      <c r="E7" s="1651">
        <f>281218282385/1000000</f>
        <v>281218.28238500003</v>
      </c>
      <c r="F7" s="1651">
        <f>78563958002/1000000</f>
        <v>78563.958001999999</v>
      </c>
      <c r="G7" s="1651">
        <f>106437844230/1000000</f>
        <v>106437.84423</v>
      </c>
      <c r="H7" s="1651">
        <f>111818126982/1000000</f>
        <v>111818.126982</v>
      </c>
      <c r="I7" s="1651">
        <f>22629675414/1000000</f>
        <v>22629.675414000001</v>
      </c>
      <c r="J7" s="1651">
        <f>288541834989/1000000</f>
        <v>288541.834989</v>
      </c>
      <c r="K7" s="1651">
        <f>9199549907/1000000</f>
        <v>9199.5499070000005</v>
      </c>
      <c r="L7" s="1651">
        <f>174604941163/1000000</f>
        <v>174604.94116300001</v>
      </c>
      <c r="M7" s="1651">
        <f>1764604648270/1000000</f>
        <v>1764604.64827</v>
      </c>
      <c r="N7" s="1651">
        <f>1528760674360/1000000</f>
        <v>1528760.6743600001</v>
      </c>
      <c r="O7" s="1651">
        <f>1529934394333/1000000</f>
        <v>1529934.3943330001</v>
      </c>
      <c r="P7" s="1651">
        <f>156004284787/1000000</f>
        <v>156004.28478700001</v>
      </c>
      <c r="Q7" s="1651">
        <f>78762709669/1000000</f>
        <v>78762.709669000003</v>
      </c>
      <c r="R7" s="1651">
        <f>1959222752476/1000000</f>
        <v>1959222.752476</v>
      </c>
      <c r="S7" s="1651">
        <f>51617919548/1000000</f>
        <v>51617.919547999998</v>
      </c>
      <c r="T7" s="1651">
        <f>21044355990/1000000</f>
        <v>21044.35599</v>
      </c>
      <c r="U7" s="1651">
        <f>52316990012/1000000</f>
        <v>52316.990012000002</v>
      </c>
      <c r="V7" s="1652">
        <f t="shared" si="0"/>
        <v>9557059.7742199972</v>
      </c>
      <c r="W7" s="1640">
        <v>664636</v>
      </c>
      <c r="X7" s="1641">
        <v>1161715</v>
      </c>
      <c r="Y7" s="1689">
        <f t="shared" si="1"/>
        <v>11383410.774219997</v>
      </c>
    </row>
    <row r="8" spans="1:28" ht="30" customHeight="1" x14ac:dyDescent="0.4">
      <c r="A8" s="1686" t="s">
        <v>161</v>
      </c>
      <c r="B8" s="1650">
        <f>1032487371440/1000000</f>
        <v>1032487.37144</v>
      </c>
      <c r="C8" s="1651">
        <f>26122625687/1000000</f>
        <v>26122.625687</v>
      </c>
      <c r="D8" s="1651">
        <f>370822764296/1000000</f>
        <v>370822.76429600001</v>
      </c>
      <c r="E8" s="1651">
        <f>405445431940/1000000</f>
        <v>405445.43193999998</v>
      </c>
      <c r="F8" s="1651">
        <f>117659132731/1000000</f>
        <v>117659.13273100001</v>
      </c>
      <c r="G8" s="1651">
        <f>84092782833/1000000</f>
        <v>84092.782833000005</v>
      </c>
      <c r="H8" s="1651">
        <f>122474535649/1000000</f>
        <v>122474.535649</v>
      </c>
      <c r="I8" s="1651">
        <f>44005578410/1000000</f>
        <v>44005.578410000002</v>
      </c>
      <c r="J8" s="1651">
        <f>311925078444/1000000</f>
        <v>311925.07844399998</v>
      </c>
      <c r="K8" s="1651">
        <f>50802156483/1000000</f>
        <v>50802.156482999999</v>
      </c>
      <c r="L8" s="1651">
        <f>217132964322/1000000</f>
        <v>217132.96432200001</v>
      </c>
      <c r="M8" s="1651">
        <f>1823889736221/1000000</f>
        <v>1823889.7362210001</v>
      </c>
      <c r="N8" s="1651">
        <f>1657154297721/1000000</f>
        <v>1657154.2977209999</v>
      </c>
      <c r="O8" s="1651">
        <f>1834706410326/1000000</f>
        <v>1834706.4103260001</v>
      </c>
      <c r="P8" s="1651">
        <f>197684802042/1000000</f>
        <v>197684.802042</v>
      </c>
      <c r="Q8" s="1651">
        <f>35963080197/1000000</f>
        <v>35963.080197000003</v>
      </c>
      <c r="R8" s="1651">
        <f>2204263475052/1000000</f>
        <v>2204263.475052</v>
      </c>
      <c r="S8" s="1651">
        <f>55393611799/1000000</f>
        <v>55393.611798999998</v>
      </c>
      <c r="T8" s="1651">
        <f>21718236175/1000000</f>
        <v>21718.236174999998</v>
      </c>
      <c r="U8" s="1651">
        <f>129527448265/1000000</f>
        <v>129527.448265</v>
      </c>
      <c r="V8" s="1652">
        <f t="shared" si="0"/>
        <v>10743271.520033</v>
      </c>
      <c r="W8" s="1640">
        <v>518185</v>
      </c>
      <c r="X8" s="1641">
        <v>1197886</v>
      </c>
      <c r="Y8" s="1689">
        <f t="shared" si="1"/>
        <v>12459342.520033</v>
      </c>
      <c r="Z8" s="1402"/>
    </row>
    <row r="9" spans="1:28" ht="30" customHeight="1" x14ac:dyDescent="0.4">
      <c r="A9" s="1686" t="s">
        <v>162</v>
      </c>
      <c r="B9" s="1650">
        <f>820995109836/1000000</f>
        <v>820995.10983600002</v>
      </c>
      <c r="C9" s="1651">
        <f>15131320639/1000000</f>
        <v>15131.320639</v>
      </c>
      <c r="D9" s="1651">
        <f>358136545864/1000000</f>
        <v>358136.54586399999</v>
      </c>
      <c r="E9" s="1651">
        <f>404534948830/1000000</f>
        <v>404534.94883000001</v>
      </c>
      <c r="F9" s="1651">
        <f>124419853903/1000000</f>
        <v>124419.853903</v>
      </c>
      <c r="G9" s="1651">
        <f>103219031361/1000000</f>
        <v>103219.031361</v>
      </c>
      <c r="H9" s="1651">
        <f>95144074040/1000000</f>
        <v>95144.074040000007</v>
      </c>
      <c r="I9" s="1651">
        <f>48129437919/1000000</f>
        <v>48129.437919000004</v>
      </c>
      <c r="J9" s="1651">
        <f>290576764886/1000000</f>
        <v>290576.76488600002</v>
      </c>
      <c r="K9" s="1651">
        <f>87081949148/1000000</f>
        <v>87081.949148</v>
      </c>
      <c r="L9" s="1651">
        <f>257548187462/1000000</f>
        <v>257548.187462</v>
      </c>
      <c r="M9" s="1651">
        <f>1818579101064/1000000</f>
        <v>1818579.101064</v>
      </c>
      <c r="N9" s="1651">
        <f>1874153116674/1000000</f>
        <v>1874153.1166739999</v>
      </c>
      <c r="O9" s="1651">
        <f>1975291006723/1000000</f>
        <v>1975291.006723</v>
      </c>
      <c r="P9" s="1651">
        <f>182167075703/1000000</f>
        <v>182167.07570300001</v>
      </c>
      <c r="Q9" s="1651">
        <f>48814970150/1000000</f>
        <v>48814.970150000001</v>
      </c>
      <c r="R9" s="1651">
        <f>1323679078247/1000000</f>
        <v>1323679.078247</v>
      </c>
      <c r="S9" s="1651">
        <f>26387760594/1000000</f>
        <v>26387.760593999999</v>
      </c>
      <c r="T9" s="1651">
        <f>25261834910/1000000</f>
        <v>25261.834910000001</v>
      </c>
      <c r="U9" s="1651">
        <f>165191380872/1000000</f>
        <v>165191.38087200001</v>
      </c>
      <c r="V9" s="1652">
        <f t="shared" si="0"/>
        <v>10044442.548824999</v>
      </c>
      <c r="W9" s="1640">
        <v>617070</v>
      </c>
      <c r="X9" s="1641">
        <v>1413341</v>
      </c>
      <c r="Y9" s="1689">
        <f t="shared" si="1"/>
        <v>12074853.548824999</v>
      </c>
      <c r="Z9" s="1402"/>
    </row>
    <row r="10" spans="1:28" ht="30" customHeight="1" x14ac:dyDescent="0.4">
      <c r="A10" s="1686" t="s">
        <v>163</v>
      </c>
      <c r="B10" s="1650">
        <f>938118951050/1000000</f>
        <v>938118.95105000003</v>
      </c>
      <c r="C10" s="1651">
        <f>3162781417/1000000</f>
        <v>3162.7814170000001</v>
      </c>
      <c r="D10" s="1651">
        <f>310685758208/1000000</f>
        <v>310685.75820799998</v>
      </c>
      <c r="E10" s="1651">
        <f>383685259060/1000000</f>
        <v>383685.25906000001</v>
      </c>
      <c r="F10" s="1651">
        <f>131103542609/1000000</f>
        <v>131103.542609</v>
      </c>
      <c r="G10" s="1651">
        <f>86414354322/1000000</f>
        <v>86414.354321999999</v>
      </c>
      <c r="H10" s="1651">
        <f>156228028414/1000000</f>
        <v>156228.028414</v>
      </c>
      <c r="I10" s="1651">
        <f>50294831037/1000000</f>
        <v>50294.831037000004</v>
      </c>
      <c r="J10" s="1651">
        <f>181512373045/1000000</f>
        <v>181512.37304499999</v>
      </c>
      <c r="K10" s="1651">
        <f>101012045981/1000000</f>
        <v>101012.045981</v>
      </c>
      <c r="L10" s="1651">
        <f>218617726934/1000000</f>
        <v>218617.72693400001</v>
      </c>
      <c r="M10" s="1651">
        <f>1934096941407/1000000</f>
        <v>1934096.9414069999</v>
      </c>
      <c r="N10" s="1651">
        <f>1914748611057/1000000</f>
        <v>1914748.611057</v>
      </c>
      <c r="O10" s="1651">
        <f>1888421323512/1000000</f>
        <v>1888421.323512</v>
      </c>
      <c r="P10" s="1651">
        <f>220011995446/1000000</f>
        <v>220011.99544599999</v>
      </c>
      <c r="Q10" s="1651">
        <f>103511824934/1000000</f>
        <v>103511.824934</v>
      </c>
      <c r="R10" s="1651">
        <f>1800751512571/1000000</f>
        <v>1800751.512571</v>
      </c>
      <c r="S10" s="1651">
        <f>23935507839/1000000</f>
        <v>23935.507839000002</v>
      </c>
      <c r="T10" s="1651">
        <f>19142835966/1000000</f>
        <v>19142.835965999999</v>
      </c>
      <c r="U10" s="1651">
        <f>82899366867/1000000</f>
        <v>82899.366867000004</v>
      </c>
      <c r="V10" s="1652">
        <f t="shared" si="0"/>
        <v>10548355.571676001</v>
      </c>
      <c r="W10" s="1640">
        <v>662705</v>
      </c>
      <c r="X10" s="1641">
        <v>1556074</v>
      </c>
      <c r="Y10" s="1689">
        <f t="shared" si="1"/>
        <v>12767134.571676001</v>
      </c>
      <c r="Z10" s="1402"/>
    </row>
    <row r="11" spans="1:28" ht="30" customHeight="1" x14ac:dyDescent="0.4">
      <c r="A11" s="1686" t="s">
        <v>164</v>
      </c>
      <c r="B11" s="1650">
        <f>1041177780727/1000000</f>
        <v>1041177.780727</v>
      </c>
      <c r="C11" s="1651">
        <f>6238428020/1000000</f>
        <v>6238.4280200000003</v>
      </c>
      <c r="D11" s="1651">
        <f>378745374263/1000000</f>
        <v>378745.37426299998</v>
      </c>
      <c r="E11" s="1651">
        <f>349716579123/1000000</f>
        <v>349716.57912299997</v>
      </c>
      <c r="F11" s="1651">
        <f>104989351250/1000000</f>
        <v>104989.35125000001</v>
      </c>
      <c r="G11" s="1651">
        <f>118517423579/1000000</f>
        <v>118517.42357899999</v>
      </c>
      <c r="H11" s="1651">
        <f>167169632063/1000000</f>
        <v>167169.632063</v>
      </c>
      <c r="I11" s="1651">
        <f>60754207597/1000000</f>
        <v>60754.207597000001</v>
      </c>
      <c r="J11" s="1651">
        <f>230048947070/1000000</f>
        <v>230048.94706999999</v>
      </c>
      <c r="K11" s="1651">
        <f>104365629554/1000000</f>
        <v>104365.629554</v>
      </c>
      <c r="L11" s="1651">
        <f>211443650630/1000000</f>
        <v>211443.65062999999</v>
      </c>
      <c r="M11" s="1651">
        <f>2061550334255/1000000</f>
        <v>2061550.3342550001</v>
      </c>
      <c r="N11" s="1651">
        <f>1559960716358/1000000</f>
        <v>1559960.7163579999</v>
      </c>
      <c r="O11" s="1651">
        <f>1944167386485/1000000</f>
        <v>1944167.3864849999</v>
      </c>
      <c r="P11" s="1651">
        <f>223228325909/1000000</f>
        <v>223228.32590900001</v>
      </c>
      <c r="Q11" s="1651">
        <f>83720262496/1000000</f>
        <v>83720.262495999996</v>
      </c>
      <c r="R11" s="1651">
        <f>2127824864553/1000000</f>
        <v>2127824.8645529998</v>
      </c>
      <c r="S11" s="1651">
        <f>22586483051/1000000</f>
        <v>22586.483050999999</v>
      </c>
      <c r="T11" s="1651">
        <f>41784941353/1000000</f>
        <v>41784.941353000002</v>
      </c>
      <c r="U11" s="1651">
        <f>85965720996/1000000</f>
        <v>85965.720996000004</v>
      </c>
      <c r="V11" s="1652">
        <f t="shared" si="0"/>
        <v>10923956.039332001</v>
      </c>
      <c r="W11" s="1640">
        <v>805324</v>
      </c>
      <c r="X11" s="1641">
        <v>2353223</v>
      </c>
      <c r="Y11" s="1689">
        <f t="shared" si="1"/>
        <v>14082503.039332001</v>
      </c>
      <c r="Z11" s="1402"/>
    </row>
    <row r="12" spans="1:28" ht="30" customHeight="1" x14ac:dyDescent="0.4">
      <c r="A12" s="1686" t="s">
        <v>520</v>
      </c>
      <c r="B12" s="1650">
        <f>1094385413801/1000000</f>
        <v>1094385.413801</v>
      </c>
      <c r="C12" s="1651">
        <f>8318544678/1000000</f>
        <v>8318.5446780000002</v>
      </c>
      <c r="D12" s="1651">
        <f>257481533566/1000000</f>
        <v>257481.533566</v>
      </c>
      <c r="E12" s="1651">
        <f>381256471234/1000000</f>
        <v>381256.471234</v>
      </c>
      <c r="F12" s="1651">
        <f>101713022524/1000000</f>
        <v>101713.022524</v>
      </c>
      <c r="G12" s="1651">
        <f>186909683287/1000000</f>
        <v>186909.68328699999</v>
      </c>
      <c r="H12" s="1651">
        <f>140954948379/1000000</f>
        <v>140954.94837900001</v>
      </c>
      <c r="I12" s="1651">
        <f>45724291551/1000000</f>
        <v>45724.291551000002</v>
      </c>
      <c r="J12" s="1651">
        <f>357703578006/1000000</f>
        <v>357703.57800600003</v>
      </c>
      <c r="K12" s="1651">
        <f>76617995925/1000000</f>
        <v>76617.995924999996</v>
      </c>
      <c r="L12" s="1651">
        <f>201047490842/1000000</f>
        <v>201047.490842</v>
      </c>
      <c r="M12" s="1651">
        <f>1828348587314/1000000</f>
        <v>1828348.5873139999</v>
      </c>
      <c r="N12" s="1651">
        <f>1930671039480/1000000</f>
        <v>1930671.03948</v>
      </c>
      <c r="O12" s="1651">
        <f>1857170752475/1000000</f>
        <v>1857170.752475</v>
      </c>
      <c r="P12" s="1651">
        <f>197644941527/1000000</f>
        <v>197644.94152699999</v>
      </c>
      <c r="Q12" s="1651">
        <f>136789332405/1000000</f>
        <v>136789.33240499999</v>
      </c>
      <c r="R12" s="1651">
        <f>1763581562649/1000000</f>
        <v>1763581.562649</v>
      </c>
      <c r="S12" s="1651">
        <f>9393325354/1000000</f>
        <v>9393.3253540000005</v>
      </c>
      <c r="T12" s="1651">
        <f>36682937676/1000000</f>
        <v>36682.937676000001</v>
      </c>
      <c r="U12" s="1651">
        <f>39253846340/1000000</f>
        <v>39253.846339999996</v>
      </c>
      <c r="V12" s="1652">
        <f t="shared" si="0"/>
        <v>10651649.299013</v>
      </c>
      <c r="W12" s="1640">
        <v>933056</v>
      </c>
      <c r="X12" s="1641">
        <v>2562400</v>
      </c>
      <c r="Y12" s="1689">
        <f t="shared" si="1"/>
        <v>14147105.299013</v>
      </c>
      <c r="Z12" s="1402"/>
    </row>
    <row r="13" spans="1:28" ht="30" customHeight="1" x14ac:dyDescent="0.4">
      <c r="A13" s="1686" t="s">
        <v>166</v>
      </c>
      <c r="B13" s="1650">
        <f>1118465577717/1000000</f>
        <v>1118465.5777169999</v>
      </c>
      <c r="C13" s="1651">
        <f>4169050500/1000000</f>
        <v>4169.0505000000003</v>
      </c>
      <c r="D13" s="1651">
        <f>340558630044/1000000</f>
        <v>340558.63004399999</v>
      </c>
      <c r="E13" s="1651">
        <f>286913549031/1000000</f>
        <v>286913.549031</v>
      </c>
      <c r="F13" s="1651">
        <f>137684635922/1000000</f>
        <v>137684.63592199999</v>
      </c>
      <c r="G13" s="1651">
        <f>204218719712/1000000</f>
        <v>204218.71971199999</v>
      </c>
      <c r="H13" s="1651">
        <f>98133808621/1000000</f>
        <v>98133.808621000004</v>
      </c>
      <c r="I13" s="1651">
        <f>37489845410/1000000</f>
        <v>37489.845410000002</v>
      </c>
      <c r="J13" s="1651">
        <f>265369637686/1000000</f>
        <v>265369.63768599997</v>
      </c>
      <c r="K13" s="1651">
        <f>40043329286/1000000</f>
        <v>40043.329286</v>
      </c>
      <c r="L13" s="1651">
        <f>167495211717/1000000</f>
        <v>167495.211717</v>
      </c>
      <c r="M13" s="1651">
        <f>1830503943957/1000000</f>
        <v>1830503.943957</v>
      </c>
      <c r="N13" s="1651">
        <f>2043971710632/1000000</f>
        <v>2043971.7106319999</v>
      </c>
      <c r="O13" s="1651">
        <f>1888665480485/1000000</f>
        <v>1888665.4804849999</v>
      </c>
      <c r="P13" s="1651">
        <f>214008086356/1000000</f>
        <v>214008.08635600001</v>
      </c>
      <c r="Q13" s="1651">
        <f>137700281719/1000000</f>
        <v>137700.28171899999</v>
      </c>
      <c r="R13" s="1651">
        <f>1628292319817/1000000</f>
        <v>1628292.3198170001</v>
      </c>
      <c r="S13" s="1651">
        <f>26329917631/1000000</f>
        <v>26329.917631</v>
      </c>
      <c r="T13" s="1651">
        <f>63753838746/1000000</f>
        <v>63753.838746000001</v>
      </c>
      <c r="U13" s="1651">
        <f>49205346971/1000000</f>
        <v>49205.346970999999</v>
      </c>
      <c r="V13" s="1652">
        <f t="shared" si="0"/>
        <v>10582972.921959998</v>
      </c>
      <c r="W13" s="1640">
        <v>879034</v>
      </c>
      <c r="X13" s="1641">
        <v>2766732</v>
      </c>
      <c r="Y13" s="1689">
        <f t="shared" si="1"/>
        <v>14228738.921959998</v>
      </c>
      <c r="Z13" s="1402"/>
    </row>
    <row r="14" spans="1:28" ht="30" customHeight="1" x14ac:dyDescent="0.4">
      <c r="A14" s="1686" t="s">
        <v>521</v>
      </c>
      <c r="B14" s="1650">
        <f>1166737341253/1000000</f>
        <v>1166737.3412530001</v>
      </c>
      <c r="C14" s="1651">
        <f>3237621154/1000000</f>
        <v>3237.6211539999999</v>
      </c>
      <c r="D14" s="1651">
        <f>199200556226/1000000</f>
        <v>199200.55622599999</v>
      </c>
      <c r="E14" s="1651">
        <f>373272281154/1000000</f>
        <v>373272.28115400003</v>
      </c>
      <c r="F14" s="1651">
        <f>138166168039/1000000</f>
        <v>138166.16803900001</v>
      </c>
      <c r="G14" s="1651">
        <f>259968138955/1000000</f>
        <v>259968.138955</v>
      </c>
      <c r="H14" s="1651">
        <f>102669338721/1000000</f>
        <v>102669.33872099999</v>
      </c>
      <c r="I14" s="1651">
        <f>66757504048/1000000</f>
        <v>66757.504048000003</v>
      </c>
      <c r="J14" s="1651">
        <f>332922977940/1000000</f>
        <v>332922.97794000001</v>
      </c>
      <c r="K14" s="1651">
        <f>63970430157/1000000</f>
        <v>63970.430157000003</v>
      </c>
      <c r="L14" s="1651">
        <f>154579170851/1000000</f>
        <v>154579.170851</v>
      </c>
      <c r="M14" s="1651">
        <f>1805264476893/1000000</f>
        <v>1805264.4768930001</v>
      </c>
      <c r="N14" s="1651">
        <f>2241511352585/1000000</f>
        <v>2241511.352585</v>
      </c>
      <c r="O14" s="1651">
        <f>1904179969227/1000000</f>
        <v>1904179.9692269999</v>
      </c>
      <c r="P14" s="1651">
        <f>247142273155/1000000</f>
        <v>247142.273155</v>
      </c>
      <c r="Q14" s="1651">
        <f>160838567957/1000000</f>
        <v>160838.56795699999</v>
      </c>
      <c r="R14" s="1651">
        <f>1523246944765/1000000</f>
        <v>1523246.9447649999</v>
      </c>
      <c r="S14" s="1651">
        <f>17621002441/1000000</f>
        <v>17621.002441000001</v>
      </c>
      <c r="T14" s="1651">
        <f>55785392171/1000000</f>
        <v>55785.392171</v>
      </c>
      <c r="U14" s="1651">
        <f>78891186969/1000000</f>
        <v>78891.186969000002</v>
      </c>
      <c r="V14" s="1652">
        <f t="shared" si="0"/>
        <v>10895962.694661001</v>
      </c>
      <c r="W14" s="1640">
        <v>874145</v>
      </c>
      <c r="X14" s="1641">
        <v>4633827</v>
      </c>
      <c r="Y14" s="1689">
        <f t="shared" si="1"/>
        <v>16403934.694661001</v>
      </c>
      <c r="Z14" s="1402"/>
    </row>
    <row r="15" spans="1:28" ht="30" customHeight="1" x14ac:dyDescent="0.4">
      <c r="A15" s="1686" t="s">
        <v>168</v>
      </c>
      <c r="B15" s="1650">
        <f>1154630827628/1000000</f>
        <v>1154630.8276279999</v>
      </c>
      <c r="C15" s="1651">
        <f>11382757969/1000000</f>
        <v>11382.757969</v>
      </c>
      <c r="D15" s="1651">
        <f>239651397725/1000000</f>
        <v>239651.39772499999</v>
      </c>
      <c r="E15" s="1651">
        <f>394151651678/1000000</f>
        <v>394151.65167799999</v>
      </c>
      <c r="F15" s="1651">
        <f>193870604588/1000000</f>
        <v>193870.60458799999</v>
      </c>
      <c r="G15" s="1651">
        <f>285659020807/1000000</f>
        <v>285659.02080699999</v>
      </c>
      <c r="H15" s="1651">
        <f>101048577100/1000000</f>
        <v>101048.57709999999</v>
      </c>
      <c r="I15" s="1651">
        <f>60840203012/1000000</f>
        <v>60840.203011999998</v>
      </c>
      <c r="J15" s="1651">
        <f>383020725815/1000000</f>
        <v>383020.72581500001</v>
      </c>
      <c r="K15" s="1651">
        <f>35841995033/1000000</f>
        <v>35841.995032999999</v>
      </c>
      <c r="L15" s="1651">
        <f>181946199505/1000000</f>
        <v>181946.199505</v>
      </c>
      <c r="M15" s="1651">
        <f>2012194724871/1000000</f>
        <v>2012194.724871</v>
      </c>
      <c r="N15" s="1651">
        <f>2078610449738/1000000</f>
        <v>2078610.4497380001</v>
      </c>
      <c r="O15" s="1651">
        <f>2235438248164/1000000</f>
        <v>2235438.248164</v>
      </c>
      <c r="P15" s="1651">
        <f>225470063972/1000000</f>
        <v>225470.063972</v>
      </c>
      <c r="Q15" s="1651">
        <f>147343093001/1000000</f>
        <v>147343.093001</v>
      </c>
      <c r="R15" s="1651">
        <f>1452810529278/1000000</f>
        <v>1452810.5292779999</v>
      </c>
      <c r="S15" s="1651">
        <f>23053863005/1000000</f>
        <v>23053.863004999999</v>
      </c>
      <c r="T15" s="1651">
        <f>13225113004/1000000</f>
        <v>13225.113004000001</v>
      </c>
      <c r="U15" s="1651">
        <f>117145935728/1000000</f>
        <v>117145.935728</v>
      </c>
      <c r="V15" s="1652">
        <f t="shared" si="0"/>
        <v>11347335.981620999</v>
      </c>
      <c r="W15" s="1640">
        <v>1157808</v>
      </c>
      <c r="X15" s="1641">
        <v>4549145</v>
      </c>
      <c r="Y15" s="1689">
        <f t="shared" si="1"/>
        <v>17054288.981620997</v>
      </c>
      <c r="Z15" s="1402"/>
    </row>
    <row r="16" spans="1:28" ht="30" customHeight="1" thickBot="1" x14ac:dyDescent="0.45">
      <c r="A16" s="1687" t="s">
        <v>169</v>
      </c>
      <c r="B16" s="1653">
        <f>1308254707955/1000000</f>
        <v>1308254.707955</v>
      </c>
      <c r="C16" s="1654">
        <v>0</v>
      </c>
      <c r="D16" s="1655">
        <f>267782173963/1000000</f>
        <v>267782.17396300001</v>
      </c>
      <c r="E16" s="1655">
        <f>315708498499/1000000</f>
        <v>315708.49849899998</v>
      </c>
      <c r="F16" s="1655">
        <f>99729984838/1000000</f>
        <v>99729.984838000004</v>
      </c>
      <c r="G16" s="1655">
        <f>321105517214/1000000</f>
        <v>321105.51721399999</v>
      </c>
      <c r="H16" s="1655">
        <f>46173398459/1000000</f>
        <v>46173.398458999996</v>
      </c>
      <c r="I16" s="1655">
        <f>74960892057/1000000</f>
        <v>74960.892057000005</v>
      </c>
      <c r="J16" s="1655">
        <f>386035382047/1000000</f>
        <v>386035.38204699999</v>
      </c>
      <c r="K16" s="1655">
        <f>628568321/1000000</f>
        <v>628.56832099999997</v>
      </c>
      <c r="L16" s="1655">
        <f>231595575347/1000000</f>
        <v>231595.57534700001</v>
      </c>
      <c r="M16" s="1655">
        <f>2310444282570/1000000</f>
        <v>2310444.2825699998</v>
      </c>
      <c r="N16" s="1655">
        <f>2579872216946/1000000</f>
        <v>2579872.2169459998</v>
      </c>
      <c r="O16" s="1655">
        <f>2024966317995/1000000</f>
        <v>2024966.3179949999</v>
      </c>
      <c r="P16" s="1655">
        <f>250954252497/1000000</f>
        <v>250954.25249700001</v>
      </c>
      <c r="Q16" s="1655">
        <f>217141308088/1000000</f>
        <v>217141.30808799999</v>
      </c>
      <c r="R16" s="1655">
        <f>2109757999407/1000000</f>
        <v>2109757.9994069999</v>
      </c>
      <c r="S16" s="1654">
        <v>0</v>
      </c>
      <c r="T16" s="1655">
        <f>38473525446/1000000</f>
        <v>38473.525446</v>
      </c>
      <c r="U16" s="1655">
        <f>41787448928/1000000</f>
        <v>41787.448927999998</v>
      </c>
      <c r="V16" s="1656">
        <f t="shared" si="0"/>
        <v>12625372.050577004</v>
      </c>
      <c r="W16" s="1642">
        <v>1281673</v>
      </c>
      <c r="X16" s="1643">
        <v>4005455</v>
      </c>
      <c r="Y16" s="1690">
        <f t="shared" si="1"/>
        <v>17912500.050577004</v>
      </c>
      <c r="Z16" s="1402"/>
    </row>
    <row r="17" spans="1:26" ht="30" customHeight="1" thickBot="1" x14ac:dyDescent="0.45">
      <c r="A17" s="1634" t="s">
        <v>170</v>
      </c>
      <c r="B17" s="1657">
        <f>SUM(B5:B16)</f>
        <v>12480850.895693999</v>
      </c>
      <c r="C17" s="1658">
        <f t="shared" ref="C17:U17" si="2">SUM(C5:C16)</f>
        <v>162128.20385799999</v>
      </c>
      <c r="D17" s="1658">
        <f t="shared" si="2"/>
        <v>3764888.9995500008</v>
      </c>
      <c r="E17" s="1658">
        <f t="shared" si="2"/>
        <v>4188632.5451500006</v>
      </c>
      <c r="F17" s="1658">
        <f t="shared" si="2"/>
        <v>1352658.709032</v>
      </c>
      <c r="G17" s="1658">
        <f t="shared" si="2"/>
        <v>1987093.6382180003</v>
      </c>
      <c r="H17" s="1658">
        <f t="shared" si="2"/>
        <v>1303633.0471950001</v>
      </c>
      <c r="I17" s="1658">
        <f t="shared" si="2"/>
        <v>527863.49315800006</v>
      </c>
      <c r="J17" s="1658">
        <f t="shared" si="2"/>
        <v>3390387.1374900001</v>
      </c>
      <c r="K17" s="1658">
        <f t="shared" si="2"/>
        <v>672678.57269199996</v>
      </c>
      <c r="L17" s="1658">
        <f t="shared" si="2"/>
        <v>2302764.0507049994</v>
      </c>
      <c r="M17" s="1658">
        <f t="shared" si="2"/>
        <v>22935118.072523002</v>
      </c>
      <c r="N17" s="1658">
        <f t="shared" si="2"/>
        <v>22849814.580687001</v>
      </c>
      <c r="O17" s="1658">
        <f t="shared" si="2"/>
        <v>22295767.419109005</v>
      </c>
      <c r="P17" s="1658">
        <f t="shared" si="2"/>
        <v>2465746.9394769999</v>
      </c>
      <c r="Q17" s="1658">
        <f t="shared" si="2"/>
        <v>1486779.3092439999</v>
      </c>
      <c r="R17" s="1658">
        <f t="shared" si="2"/>
        <v>22073756.170770001</v>
      </c>
      <c r="S17" s="1658">
        <f t="shared" si="2"/>
        <v>302653.87183399999</v>
      </c>
      <c r="T17" s="1658">
        <f t="shared" si="2"/>
        <v>378877.65674000001</v>
      </c>
      <c r="U17" s="1658">
        <f t="shared" si="2"/>
        <v>973403.55625799997</v>
      </c>
      <c r="V17" s="1659">
        <f>SUM(V5:V16)</f>
        <v>127895496.86938401</v>
      </c>
      <c r="W17" s="1644">
        <v>9716183</v>
      </c>
      <c r="X17" s="1645">
        <v>28385427</v>
      </c>
      <c r="Y17" s="1646">
        <f t="shared" si="1"/>
        <v>165997106.86938399</v>
      </c>
      <c r="Z17" s="1402"/>
    </row>
    <row r="18" spans="1:26" ht="17.25" x14ac:dyDescent="0.4">
      <c r="A18" s="1399"/>
      <c r="B18" s="1403"/>
      <c r="C18" s="1403"/>
      <c r="D18" s="1403"/>
      <c r="E18" s="1403"/>
      <c r="F18" s="1403"/>
      <c r="G18" s="1403"/>
      <c r="H18" s="1403"/>
      <c r="I18" s="1403"/>
      <c r="J18" s="1403"/>
      <c r="K18" s="1403"/>
      <c r="L18" s="1403"/>
      <c r="M18" s="1403"/>
      <c r="N18" s="1403"/>
      <c r="O18" s="1403"/>
      <c r="P18" s="1403"/>
      <c r="Q18" s="1403"/>
      <c r="R18" s="1403"/>
      <c r="S18" s="1403"/>
      <c r="T18" s="1403"/>
      <c r="U18" s="1403"/>
      <c r="V18" s="1403"/>
      <c r="W18" s="1403"/>
      <c r="X18" s="1403"/>
      <c r="Y18" s="1403"/>
      <c r="Z18" s="1402"/>
    </row>
    <row r="19" spans="1:26" x14ac:dyDescent="0.4">
      <c r="B19" s="1402"/>
      <c r="C19" s="1402"/>
      <c r="D19" s="1402"/>
      <c r="E19" s="1402"/>
      <c r="F19" s="1402"/>
      <c r="G19" s="1402"/>
      <c r="H19" s="1402"/>
      <c r="I19" s="1402"/>
      <c r="J19" s="1402"/>
      <c r="K19" s="1402"/>
      <c r="L19" s="1402"/>
      <c r="M19" s="1402"/>
      <c r="N19" s="1402"/>
      <c r="O19" s="1402"/>
      <c r="P19" s="1402"/>
      <c r="Q19" s="1402"/>
      <c r="R19" s="1402"/>
      <c r="S19" s="1402"/>
      <c r="T19" s="1402"/>
      <c r="U19" s="1402"/>
      <c r="V19" s="1402"/>
      <c r="W19" s="1402"/>
      <c r="X19" s="1402"/>
      <c r="Y19" s="1402"/>
      <c r="Z19" s="1402"/>
    </row>
    <row r="20" spans="1:26" x14ac:dyDescent="0.4">
      <c r="B20" s="1402"/>
    </row>
    <row r="21" spans="1:26" x14ac:dyDescent="0.4">
      <c r="B21" s="1402"/>
    </row>
    <row r="23" spans="1:26" x14ac:dyDescent="0.4">
      <c r="Y23" s="1">
        <v>165997106.86938399</v>
      </c>
    </row>
  </sheetData>
  <mergeCells count="6">
    <mergeCell ref="A1:Y1"/>
    <mergeCell ref="A2:Y2"/>
    <mergeCell ref="A3:A4"/>
    <mergeCell ref="B3:V3"/>
    <mergeCell ref="W3:X3"/>
    <mergeCell ref="Y3:Y4"/>
  </mergeCells>
  <printOptions horizontalCentered="1"/>
  <pageMargins left="0.39370078740157483" right="0.39370078740157483" top="0.78740157480314965" bottom="0.78740157480314965" header="0" footer="0"/>
  <pageSetup paperSize="9" scale="75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rgb="FF00B050"/>
  </sheetPr>
  <dimension ref="A1:AV18"/>
  <sheetViews>
    <sheetView rightToLeft="1" zoomScale="115" workbookViewId="0">
      <selection activeCell="K15" sqref="K15"/>
    </sheetView>
  </sheetViews>
  <sheetFormatPr defaultColWidth="7" defaultRowHeight="15.75" x14ac:dyDescent="0.4"/>
  <cols>
    <col min="1" max="1" width="6.75" style="1" bestFit="1" customWidth="1"/>
    <col min="2" max="2" width="15.25" style="1" bestFit="1" customWidth="1"/>
    <col min="3" max="3" width="11.125" style="1" bestFit="1" customWidth="1"/>
    <col min="4" max="4" width="10.25" style="1" bestFit="1" customWidth="1"/>
    <col min="5" max="5" width="12" style="1" bestFit="1" customWidth="1"/>
    <col min="6" max="6" width="9.875" style="1" bestFit="1" customWidth="1"/>
    <col min="7" max="7" width="10.75" style="1" bestFit="1" customWidth="1"/>
    <col min="8" max="8" width="11.25" style="1" bestFit="1" customWidth="1"/>
    <col min="9" max="9" width="12.375" style="1" bestFit="1" customWidth="1"/>
    <col min="10" max="10" width="11.25" style="1" bestFit="1" customWidth="1"/>
    <col min="11" max="11" width="13.75" style="1" customWidth="1"/>
    <col min="12" max="12" width="7.625" style="1" bestFit="1" customWidth="1"/>
    <col min="13" max="13" width="10.25" style="1" bestFit="1" customWidth="1"/>
    <col min="14" max="14" width="7.625" style="1" bestFit="1" customWidth="1"/>
    <col min="15" max="15" width="9.25" style="1" bestFit="1" customWidth="1"/>
    <col min="16" max="16" width="3.125" style="1" bestFit="1" customWidth="1"/>
    <col min="17" max="17" width="3" style="1" bestFit="1" customWidth="1"/>
    <col min="18" max="18" width="2.625" style="1" bestFit="1" customWidth="1"/>
    <col min="19" max="19" width="12" style="1" customWidth="1"/>
    <col min="20" max="20" width="3.875" style="1" bestFit="1" customWidth="1"/>
    <col min="21" max="21" width="13.75" style="1" customWidth="1"/>
    <col min="22" max="22" width="11" style="1" customWidth="1"/>
    <col min="23" max="23" width="11.375" style="1" bestFit="1" customWidth="1"/>
    <col min="24" max="24" width="3.125" style="1" bestFit="1" customWidth="1"/>
    <col min="25" max="25" width="5.875" style="1" customWidth="1"/>
    <col min="26" max="26" width="3.875" style="1" customWidth="1"/>
    <col min="27" max="28" width="5.625" style="1" customWidth="1"/>
    <col min="29" max="29" width="2.125" style="1" customWidth="1"/>
    <col min="30" max="30" width="12.25" style="1" bestFit="1" customWidth="1"/>
    <col min="31" max="31" width="16.375" style="1" customWidth="1"/>
    <col min="32" max="32" width="2.875" style="1" bestFit="1" customWidth="1"/>
    <col min="33" max="33" width="3" style="1" bestFit="1" customWidth="1"/>
    <col min="34" max="34" width="2.875" style="1" bestFit="1" customWidth="1"/>
    <col min="35" max="35" width="2.375" style="1" bestFit="1" customWidth="1"/>
    <col min="36" max="36" width="2.625" style="1" bestFit="1" customWidth="1"/>
    <col min="37" max="37" width="3.875" style="1" bestFit="1" customWidth="1"/>
    <col min="38" max="38" width="12.625" style="1" customWidth="1"/>
    <col min="39" max="39" width="9.75" style="1" bestFit="1" customWidth="1"/>
    <col min="40" max="40" width="4" style="1" bestFit="1" customWidth="1"/>
    <col min="41" max="41" width="3.125" style="1" bestFit="1" customWidth="1"/>
    <col min="42" max="42" width="3.875" style="1" bestFit="1" customWidth="1"/>
    <col min="43" max="43" width="3.875" style="1" customWidth="1"/>
    <col min="44" max="44" width="3.25" style="1" bestFit="1" customWidth="1"/>
    <col min="45" max="45" width="10.25" style="1" bestFit="1" customWidth="1"/>
    <col min="46" max="46" width="11.375" style="1" bestFit="1" customWidth="1"/>
    <col min="47" max="16384" width="7" style="1"/>
  </cols>
  <sheetData>
    <row r="1" spans="1:48" ht="18" customHeight="1" x14ac:dyDescent="0.4">
      <c r="A1" s="3323" t="s">
        <v>869</v>
      </c>
      <c r="B1" s="3324"/>
      <c r="C1" s="3324"/>
      <c r="D1" s="3324"/>
      <c r="E1" s="3324"/>
      <c r="F1" s="3324"/>
      <c r="G1" s="3324"/>
      <c r="H1" s="3324"/>
      <c r="I1" s="3324"/>
      <c r="J1" s="3324"/>
      <c r="K1" s="1404"/>
      <c r="L1" s="1405"/>
      <c r="M1" s="1405"/>
      <c r="N1" s="1405"/>
      <c r="O1" s="1405"/>
      <c r="P1" s="1405"/>
      <c r="Q1" s="1405"/>
      <c r="AF1" s="1406"/>
      <c r="AG1" s="1406"/>
      <c r="AH1" s="1406"/>
      <c r="AI1" s="1406"/>
      <c r="AJ1" s="1406"/>
      <c r="AK1" s="1406"/>
      <c r="AL1" s="1406"/>
      <c r="AM1" s="1406"/>
      <c r="AN1" s="1406"/>
      <c r="AO1" s="1406"/>
      <c r="AP1" s="1406"/>
      <c r="AQ1" s="1406"/>
      <c r="AR1" s="1406"/>
      <c r="AS1" s="1406"/>
      <c r="AT1" s="1406"/>
      <c r="AU1" s="1406"/>
      <c r="AV1" s="1406"/>
    </row>
    <row r="2" spans="1:48" ht="16.5" thickBot="1" x14ac:dyDescent="0.45">
      <c r="A2" s="3325" t="s">
        <v>870</v>
      </c>
      <c r="B2" s="3325"/>
      <c r="C2" s="3325"/>
      <c r="D2" s="3325"/>
      <c r="E2" s="3325"/>
      <c r="F2" s="3325"/>
      <c r="G2" s="3325"/>
      <c r="H2" s="3325"/>
      <c r="I2" s="3325"/>
      <c r="J2" s="3325"/>
      <c r="K2" s="1401"/>
      <c r="AD2" s="1402"/>
      <c r="AE2" s="1401"/>
      <c r="AF2" s="1406"/>
      <c r="AG2" s="1406"/>
      <c r="AH2" s="1406"/>
      <c r="AI2" s="1406"/>
      <c r="AJ2" s="1406"/>
      <c r="AK2" s="1406"/>
      <c r="AL2" s="1406"/>
      <c r="AM2" s="1406"/>
      <c r="AN2" s="1406"/>
      <c r="AO2" s="1406"/>
      <c r="AP2" s="1406"/>
      <c r="AQ2" s="1406"/>
      <c r="AR2" s="1406"/>
      <c r="AS2" s="1406"/>
      <c r="AT2" s="1407"/>
      <c r="AU2" s="1406"/>
      <c r="AV2" s="1406"/>
    </row>
    <row r="3" spans="1:48" ht="16.5" thickBot="1" x14ac:dyDescent="0.45">
      <c r="A3" s="1663" t="s">
        <v>118</v>
      </c>
      <c r="B3" s="1664" t="s">
        <v>99</v>
      </c>
      <c r="C3" s="1664" t="s">
        <v>114</v>
      </c>
      <c r="D3" s="1664" t="s">
        <v>96</v>
      </c>
      <c r="E3" s="1664" t="s">
        <v>201</v>
      </c>
      <c r="F3" s="1664" t="s">
        <v>106</v>
      </c>
      <c r="G3" s="1664" t="s">
        <v>199</v>
      </c>
      <c r="H3" s="1664" t="s">
        <v>113</v>
      </c>
      <c r="I3" s="1665" t="s">
        <v>101</v>
      </c>
      <c r="J3" s="1668" t="s">
        <v>170</v>
      </c>
      <c r="K3" s="1401"/>
      <c r="AF3" s="1406"/>
      <c r="AG3" s="1406"/>
      <c r="AH3" s="1406"/>
      <c r="AI3" s="1406"/>
      <c r="AJ3" s="1406"/>
      <c r="AK3" s="1406"/>
      <c r="AL3" s="1406"/>
      <c r="AM3" s="1406"/>
      <c r="AN3" s="1406"/>
      <c r="AO3" s="1406"/>
      <c r="AP3" s="1406"/>
      <c r="AQ3" s="1406"/>
      <c r="AR3" s="1406"/>
      <c r="AS3" s="1407"/>
      <c r="AT3" s="1408"/>
      <c r="AU3" s="1406"/>
      <c r="AV3" s="1406"/>
    </row>
    <row r="4" spans="1:48" ht="19.5" x14ac:dyDescent="0.5">
      <c r="A4" s="1679" t="s">
        <v>158</v>
      </c>
      <c r="B4" s="1675">
        <v>971296078</v>
      </c>
      <c r="C4" s="1661">
        <v>5115829</v>
      </c>
      <c r="D4" s="1662">
        <v>0</v>
      </c>
      <c r="E4" s="1661">
        <v>72307188</v>
      </c>
      <c r="F4" s="1661">
        <v>1699844</v>
      </c>
      <c r="G4" s="1661">
        <v>0</v>
      </c>
      <c r="H4" s="1661">
        <v>0</v>
      </c>
      <c r="I4" s="1666">
        <v>41066021</v>
      </c>
      <c r="J4" s="1682">
        <v>1091484.96</v>
      </c>
      <c r="K4" s="1401"/>
    </row>
    <row r="5" spans="1:48" ht="19.5" x14ac:dyDescent="0.5">
      <c r="A5" s="1680" t="s">
        <v>159</v>
      </c>
      <c r="B5" s="1676">
        <v>915459506</v>
      </c>
      <c r="C5" s="687">
        <v>6880299</v>
      </c>
      <c r="D5" s="1409">
        <v>0</v>
      </c>
      <c r="E5" s="687">
        <v>68572921</v>
      </c>
      <c r="F5" s="1409">
        <v>677724</v>
      </c>
      <c r="G5" s="1409">
        <v>0</v>
      </c>
      <c r="H5" s="687">
        <v>0</v>
      </c>
      <c r="I5" s="1667">
        <v>102553962</v>
      </c>
      <c r="J5" s="1683">
        <v>1094144.412</v>
      </c>
      <c r="K5" s="1401"/>
    </row>
    <row r="6" spans="1:48" ht="19.5" x14ac:dyDescent="0.5">
      <c r="A6" s="1680" t="s">
        <v>160</v>
      </c>
      <c r="B6" s="1677">
        <v>928779783</v>
      </c>
      <c r="C6" s="687">
        <v>11393575</v>
      </c>
      <c r="D6" s="1409">
        <v>5493957</v>
      </c>
      <c r="E6" s="687">
        <v>91563124</v>
      </c>
      <c r="F6" s="1409">
        <v>343728</v>
      </c>
      <c r="G6" s="687">
        <v>0</v>
      </c>
      <c r="H6" s="1409">
        <v>11736930</v>
      </c>
      <c r="I6" s="1667">
        <v>112404524</v>
      </c>
      <c r="J6" s="1683">
        <v>1161715.621</v>
      </c>
      <c r="K6" s="1401"/>
    </row>
    <row r="7" spans="1:48" ht="19.5" x14ac:dyDescent="0.5">
      <c r="A7" s="1680" t="s">
        <v>161</v>
      </c>
      <c r="B7" s="1677">
        <v>1010638862</v>
      </c>
      <c r="C7" s="687">
        <v>15908229</v>
      </c>
      <c r="D7" s="1409">
        <v>0</v>
      </c>
      <c r="E7" s="687">
        <v>52722315</v>
      </c>
      <c r="F7" s="687">
        <v>2661858</v>
      </c>
      <c r="G7" s="687">
        <v>0</v>
      </c>
      <c r="H7" s="1409">
        <v>24255980</v>
      </c>
      <c r="I7" s="1667">
        <v>91699222</v>
      </c>
      <c r="J7" s="1683">
        <v>1197886.466</v>
      </c>
      <c r="K7" s="1401"/>
    </row>
    <row r="8" spans="1:48" ht="19.5" x14ac:dyDescent="0.5">
      <c r="A8" s="1680" t="s">
        <v>162</v>
      </c>
      <c r="B8" s="1677">
        <v>1261883621</v>
      </c>
      <c r="C8" s="687">
        <v>22003418</v>
      </c>
      <c r="D8" s="1409">
        <v>0</v>
      </c>
      <c r="E8" s="687">
        <v>54369979</v>
      </c>
      <c r="F8" s="687">
        <v>3409698</v>
      </c>
      <c r="G8" s="1409">
        <v>0</v>
      </c>
      <c r="H8" s="1409">
        <v>9151825</v>
      </c>
      <c r="I8" s="1667">
        <v>62522459</v>
      </c>
      <c r="J8" s="1683">
        <v>1413341</v>
      </c>
      <c r="K8" s="1401"/>
    </row>
    <row r="9" spans="1:48" ht="19.5" x14ac:dyDescent="0.5">
      <c r="A9" s="1680" t="s">
        <v>163</v>
      </c>
      <c r="B9" s="1677">
        <v>1368842050</v>
      </c>
      <c r="C9" s="687">
        <v>4684546</v>
      </c>
      <c r="D9" s="1409">
        <v>10169709</v>
      </c>
      <c r="E9" s="687">
        <v>89009045</v>
      </c>
      <c r="F9" s="1409">
        <v>1436684</v>
      </c>
      <c r="G9" s="687">
        <v>0</v>
      </c>
      <c r="H9" s="1409">
        <v>2793595</v>
      </c>
      <c r="I9" s="1667">
        <v>79138841</v>
      </c>
      <c r="J9" s="1683">
        <v>1556074.47</v>
      </c>
      <c r="K9" s="1401"/>
    </row>
    <row r="10" spans="1:48" ht="19.5" x14ac:dyDescent="0.5">
      <c r="A10" s="1680" t="s">
        <v>164</v>
      </c>
      <c r="B10" s="1677">
        <v>2027083965</v>
      </c>
      <c r="C10" s="687">
        <v>23402919</v>
      </c>
      <c r="D10" s="1409">
        <v>0</v>
      </c>
      <c r="E10" s="687">
        <v>123883291</v>
      </c>
      <c r="F10" s="1409">
        <v>511216</v>
      </c>
      <c r="G10" s="1409">
        <v>48009345</v>
      </c>
      <c r="H10" s="1409">
        <v>24982811</v>
      </c>
      <c r="I10" s="1667">
        <v>105349985</v>
      </c>
      <c r="J10" s="1683">
        <v>2353223.5320000001</v>
      </c>
      <c r="K10" s="1401"/>
    </row>
    <row r="11" spans="1:48" ht="19.5" x14ac:dyDescent="0.5">
      <c r="A11" s="1680" t="s">
        <v>520</v>
      </c>
      <c r="B11" s="1677">
        <v>2276952224</v>
      </c>
      <c r="C11" s="687">
        <v>11207574</v>
      </c>
      <c r="D11" s="1409">
        <v>0</v>
      </c>
      <c r="E11" s="687">
        <v>124215246</v>
      </c>
      <c r="F11" s="687">
        <v>2057340</v>
      </c>
      <c r="G11" s="1409">
        <v>0</v>
      </c>
      <c r="H11" s="1409">
        <v>24611153</v>
      </c>
      <c r="I11" s="1667">
        <v>123357087</v>
      </c>
      <c r="J11" s="1683">
        <v>2562400.6239999998</v>
      </c>
      <c r="K11" s="1401"/>
    </row>
    <row r="12" spans="1:48" ht="19.5" x14ac:dyDescent="0.5">
      <c r="A12" s="1680" t="s">
        <v>166</v>
      </c>
      <c r="B12" s="1677">
        <v>2550388142</v>
      </c>
      <c r="C12" s="687">
        <v>672854</v>
      </c>
      <c r="D12" s="1409">
        <v>0</v>
      </c>
      <c r="E12" s="687">
        <v>101297452</v>
      </c>
      <c r="F12" s="687">
        <v>1303910</v>
      </c>
      <c r="G12" s="1409">
        <v>0</v>
      </c>
      <c r="H12" s="1409">
        <v>20900888</v>
      </c>
      <c r="I12" s="1667">
        <v>92169463</v>
      </c>
      <c r="J12" s="1683">
        <v>2766732.7089999998</v>
      </c>
      <c r="K12" s="1401"/>
    </row>
    <row r="13" spans="1:48" ht="19.5" x14ac:dyDescent="0.5">
      <c r="A13" s="1680" t="s">
        <v>521</v>
      </c>
      <c r="B13" s="1677">
        <v>4285463053</v>
      </c>
      <c r="C13" s="687">
        <v>32615227</v>
      </c>
      <c r="D13" s="1409">
        <v>0</v>
      </c>
      <c r="E13" s="687">
        <v>199268023</v>
      </c>
      <c r="F13" s="687">
        <v>0</v>
      </c>
      <c r="G13" s="687">
        <v>0</v>
      </c>
      <c r="H13" s="1409">
        <v>49612798</v>
      </c>
      <c r="I13" s="1667">
        <v>66868838</v>
      </c>
      <c r="J13" s="1683">
        <v>4633827.9390000002</v>
      </c>
      <c r="K13" s="1401"/>
    </row>
    <row r="14" spans="1:48" ht="19.5" x14ac:dyDescent="0.5">
      <c r="A14" s="1680" t="s">
        <v>168</v>
      </c>
      <c r="B14" s="1677">
        <v>4234358110</v>
      </c>
      <c r="C14" s="687">
        <v>20765884</v>
      </c>
      <c r="D14" s="687">
        <v>606213</v>
      </c>
      <c r="E14" s="687">
        <v>161719685</v>
      </c>
      <c r="F14" s="687">
        <v>0</v>
      </c>
      <c r="G14" s="687">
        <v>0</v>
      </c>
      <c r="H14" s="1409">
        <v>31101199</v>
      </c>
      <c r="I14" s="1667">
        <v>100593354</v>
      </c>
      <c r="J14" s="1683">
        <v>4549144.4450000003</v>
      </c>
      <c r="K14" s="1401"/>
    </row>
    <row r="15" spans="1:48" ht="20.25" thickBot="1" x14ac:dyDescent="0.55000000000000004">
      <c r="A15" s="1681" t="s">
        <v>169</v>
      </c>
      <c r="B15" s="1678">
        <v>3657853962</v>
      </c>
      <c r="C15" s="1669">
        <v>130949760</v>
      </c>
      <c r="D15" s="1670">
        <v>3256390</v>
      </c>
      <c r="E15" s="1669">
        <v>80691767</v>
      </c>
      <c r="F15" s="1669">
        <v>0</v>
      </c>
      <c r="G15" s="1670">
        <v>0</v>
      </c>
      <c r="H15" s="1670">
        <v>5895383</v>
      </c>
      <c r="I15" s="1671">
        <v>126807871</v>
      </c>
      <c r="J15" s="1684">
        <v>4005455.1329999999</v>
      </c>
      <c r="K15" s="1401"/>
    </row>
    <row r="16" spans="1:48" ht="20.25" thickBot="1" x14ac:dyDescent="0.55000000000000004">
      <c r="A16" s="1663" t="s">
        <v>170</v>
      </c>
      <c r="B16" s="1672">
        <f>SUM(B4:B15)</f>
        <v>25488999356</v>
      </c>
      <c r="C16" s="1672">
        <v>285600114</v>
      </c>
      <c r="D16" s="1672">
        <v>19526269</v>
      </c>
      <c r="E16" s="1672">
        <v>1219620036</v>
      </c>
      <c r="F16" s="1672">
        <v>14102002</v>
      </c>
      <c r="G16" s="1672">
        <v>48009345</v>
      </c>
      <c r="H16" s="1672">
        <v>205042562</v>
      </c>
      <c r="I16" s="1673">
        <v>1104531627</v>
      </c>
      <c r="J16" s="1674">
        <v>28385431.311000001</v>
      </c>
    </row>
    <row r="17" spans="1:10" ht="16.5" thickBot="1" x14ac:dyDescent="0.45">
      <c r="A17" s="3326" t="s">
        <v>871</v>
      </c>
      <c r="B17" s="3326"/>
      <c r="C17" s="3326"/>
      <c r="D17" s="3326"/>
      <c r="E17" s="3326"/>
      <c r="F17" s="1410"/>
      <c r="G17" s="1410"/>
      <c r="H17" s="1410"/>
      <c r="I17" s="1410"/>
      <c r="J17" s="1410"/>
    </row>
    <row r="18" spans="1:10" x14ac:dyDescent="0.4">
      <c r="A18" s="1660" t="s">
        <v>1853</v>
      </c>
    </row>
  </sheetData>
  <mergeCells count="3">
    <mergeCell ref="A1:J1"/>
    <mergeCell ref="A2:J2"/>
    <mergeCell ref="A17:E17"/>
  </mergeCells>
  <printOptions horizontalCentered="1"/>
  <pageMargins left="0.47244094488188981" right="0.47244094488188981" top="0.98425196850393704" bottom="0.98425196850393704" header="0" footer="0"/>
  <pageSetup paperSize="9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00B050"/>
  </sheetPr>
  <dimension ref="A1:I36"/>
  <sheetViews>
    <sheetView rightToLeft="1" topLeftCell="A13" zoomScaleNormal="100" workbookViewId="0">
      <selection activeCell="L19" sqref="L19"/>
    </sheetView>
  </sheetViews>
  <sheetFormatPr defaultColWidth="7" defaultRowHeight="15.75" x14ac:dyDescent="0.4"/>
  <cols>
    <col min="1" max="1" width="16.25" style="1" customWidth="1"/>
    <col min="2" max="2" width="13.75" style="1" customWidth="1"/>
    <col min="3" max="3" width="17.75" style="1401" bestFit="1" customWidth="1"/>
    <col min="4" max="4" width="18.875" style="1" bestFit="1" customWidth="1"/>
    <col min="5" max="5" width="11.875" style="1" customWidth="1"/>
    <col min="6" max="6" width="9.125" style="1" bestFit="1" customWidth="1"/>
    <col min="7" max="9" width="7" style="1"/>
    <col min="10" max="11" width="10.375" style="1" bestFit="1" customWidth="1"/>
    <col min="12" max="16384" width="7" style="1"/>
  </cols>
  <sheetData>
    <row r="1" ht="17.25" customHeight="1" x14ac:dyDescent="0.4"/>
    <row r="2" ht="17.25" customHeight="1" x14ac:dyDescent="0.4"/>
    <row r="3" ht="17.25" customHeight="1" x14ac:dyDescent="0.4"/>
    <row r="4" ht="17.25" customHeight="1" x14ac:dyDescent="0.4"/>
    <row r="5" ht="17.25" customHeight="1" x14ac:dyDescent="0.4"/>
    <row r="6" ht="17.25" customHeight="1" x14ac:dyDescent="0.4"/>
    <row r="7" ht="17.25" customHeight="1" x14ac:dyDescent="0.4"/>
    <row r="8" ht="17.25" customHeight="1" x14ac:dyDescent="0.4"/>
    <row r="9" ht="17.25" customHeight="1" x14ac:dyDescent="0.4"/>
    <row r="10" ht="17.25" customHeight="1" x14ac:dyDescent="0.4"/>
    <row r="11" ht="17.25" customHeight="1" x14ac:dyDescent="0.4"/>
    <row r="12" ht="17.25" customHeight="1" x14ac:dyDescent="0.4"/>
    <row r="13" ht="17.25" customHeight="1" x14ac:dyDescent="0.4"/>
    <row r="14" ht="17.25" customHeight="1" x14ac:dyDescent="0.4"/>
    <row r="15" ht="17.25" customHeight="1" x14ac:dyDescent="0.4"/>
    <row r="16" ht="17.25" customHeight="1" x14ac:dyDescent="0.4"/>
    <row r="17" spans="1:6" ht="17.25" customHeight="1" x14ac:dyDescent="0.4"/>
    <row r="21" spans="1:6" ht="21" x14ac:dyDescent="0.4">
      <c r="A21" s="3323" t="s">
        <v>872</v>
      </c>
      <c r="B21" s="3323"/>
      <c r="C21" s="3323"/>
      <c r="D21" s="3323"/>
      <c r="E21" s="3323"/>
    </row>
    <row r="22" spans="1:6" ht="16.5" thickBot="1" x14ac:dyDescent="0.45">
      <c r="A22" s="3325" t="s">
        <v>816</v>
      </c>
      <c r="B22" s="3325"/>
      <c r="C22" s="3325"/>
      <c r="D22" s="3325"/>
      <c r="E22" s="3325"/>
    </row>
    <row r="23" spans="1:6" ht="21.75" customHeight="1" x14ac:dyDescent="0.4">
      <c r="A23" s="3321" t="s">
        <v>118</v>
      </c>
      <c r="B23" s="3319" t="s">
        <v>38</v>
      </c>
      <c r="C23" s="3319"/>
      <c r="D23" s="3319" t="s">
        <v>442</v>
      </c>
      <c r="E23" s="3322" t="s">
        <v>406</v>
      </c>
    </row>
    <row r="24" spans="1:6" ht="21.75" customHeight="1" thickBot="1" x14ac:dyDescent="0.45">
      <c r="A24" s="3328"/>
      <c r="B24" s="1693">
        <v>1402</v>
      </c>
      <c r="C24" s="1693">
        <v>1403</v>
      </c>
      <c r="D24" s="3329"/>
      <c r="E24" s="3330"/>
    </row>
    <row r="25" spans="1:6" ht="21.75" customHeight="1" x14ac:dyDescent="0.4">
      <c r="A25" s="1691" t="s">
        <v>588</v>
      </c>
      <c r="B25" s="1411">
        <v>0</v>
      </c>
      <c r="C25" s="1412">
        <v>205042562000</v>
      </c>
      <c r="D25" s="1412">
        <f t="shared" ref="D25:D33" si="0">C25-B25</f>
        <v>205042562000</v>
      </c>
      <c r="E25" s="1413">
        <v>0</v>
      </c>
    </row>
    <row r="26" spans="1:6" ht="23.25" customHeight="1" x14ac:dyDescent="0.4">
      <c r="A26" s="1691" t="s">
        <v>114</v>
      </c>
      <c r="B26" s="1412">
        <v>64763043294</v>
      </c>
      <c r="C26" s="1412">
        <v>285600000000</v>
      </c>
      <c r="D26" s="1412">
        <f t="shared" si="0"/>
        <v>220836956706</v>
      </c>
      <c r="E26" s="1413">
        <f t="shared" ref="E26:E33" si="1">D26/B26</f>
        <v>3.4099224723502073</v>
      </c>
      <c r="F26" s="1401"/>
    </row>
    <row r="27" spans="1:6" ht="23.25" customHeight="1" x14ac:dyDescent="0.4">
      <c r="A27" s="1691" t="s">
        <v>106</v>
      </c>
      <c r="B27" s="1412">
        <v>4253813564</v>
      </c>
      <c r="C27" s="1412">
        <v>14102002000</v>
      </c>
      <c r="D27" s="1412">
        <f t="shared" si="0"/>
        <v>9848188436</v>
      </c>
      <c r="E27" s="1413">
        <f t="shared" si="1"/>
        <v>2.3151434090448069</v>
      </c>
      <c r="F27" s="1401"/>
    </row>
    <row r="28" spans="1:6" ht="23.25" customHeight="1" x14ac:dyDescent="0.4">
      <c r="A28" s="1691" t="s">
        <v>99</v>
      </c>
      <c r="B28" s="1412">
        <v>8381746988101</v>
      </c>
      <c r="C28" s="1412">
        <v>25488999356000</v>
      </c>
      <c r="D28" s="1412">
        <f t="shared" si="0"/>
        <v>17107252367899</v>
      </c>
      <c r="E28" s="1413">
        <f t="shared" si="1"/>
        <v>2.0410127378200524</v>
      </c>
      <c r="F28" s="1401"/>
    </row>
    <row r="29" spans="1:6" ht="23.25" customHeight="1" x14ac:dyDescent="0.4">
      <c r="A29" s="1691" t="s">
        <v>201</v>
      </c>
      <c r="B29" s="1412">
        <v>1004254865329</v>
      </c>
      <c r="C29" s="1412">
        <v>1219620036000</v>
      </c>
      <c r="D29" s="1412">
        <f t="shared" si="0"/>
        <v>215365170671</v>
      </c>
      <c r="E29" s="1413">
        <f t="shared" si="1"/>
        <v>0.21445270329902266</v>
      </c>
      <c r="F29" s="1401"/>
    </row>
    <row r="30" spans="1:6" ht="23.25" customHeight="1" x14ac:dyDescent="0.4">
      <c r="A30" s="1691" t="s">
        <v>96</v>
      </c>
      <c r="B30" s="1412">
        <v>0</v>
      </c>
      <c r="C30" s="1412">
        <v>19526269000</v>
      </c>
      <c r="D30" s="1412">
        <f t="shared" si="0"/>
        <v>19526269000</v>
      </c>
      <c r="E30" s="1413">
        <v>0</v>
      </c>
      <c r="F30" s="1401"/>
    </row>
    <row r="31" spans="1:6" ht="23.25" customHeight="1" x14ac:dyDescent="0.4">
      <c r="A31" s="1691" t="s">
        <v>199</v>
      </c>
      <c r="B31" s="1412">
        <v>101052402</v>
      </c>
      <c r="C31" s="1412">
        <v>48009345000</v>
      </c>
      <c r="D31" s="1412">
        <f t="shared" si="0"/>
        <v>47908292598</v>
      </c>
      <c r="E31" s="1413">
        <f t="shared" si="1"/>
        <v>474.09355591567237</v>
      </c>
      <c r="F31" s="1401"/>
    </row>
    <row r="32" spans="1:6" ht="23.25" customHeight="1" thickBot="1" x14ac:dyDescent="0.45">
      <c r="A32" s="1692" t="s">
        <v>101</v>
      </c>
      <c r="B32" s="1414">
        <v>1130291989109</v>
      </c>
      <c r="C32" s="1414">
        <v>1104531627000</v>
      </c>
      <c r="D32" s="1414">
        <f t="shared" si="0"/>
        <v>-25760362109</v>
      </c>
      <c r="E32" s="1415">
        <f t="shared" si="1"/>
        <v>-2.2790891519373399E-2</v>
      </c>
      <c r="F32" s="1401"/>
    </row>
    <row r="33" spans="1:9" ht="23.25" customHeight="1" thickBot="1" x14ac:dyDescent="0.45">
      <c r="A33" s="1694" t="s">
        <v>170</v>
      </c>
      <c r="B33" s="1695">
        <v>10585411751799</v>
      </c>
      <c r="C33" s="1695">
        <f>SUM(C25:C32)</f>
        <v>28385431197000</v>
      </c>
      <c r="D33" s="1695">
        <f t="shared" si="0"/>
        <v>17800019445201</v>
      </c>
      <c r="E33" s="1696">
        <f t="shared" si="1"/>
        <v>1.6815613660163831</v>
      </c>
    </row>
    <row r="34" spans="1:9" x14ac:dyDescent="0.4">
      <c r="A34" s="3327" t="s">
        <v>873</v>
      </c>
      <c r="B34" s="3327"/>
      <c r="C34" s="3327"/>
      <c r="D34" s="3327"/>
      <c r="E34" s="3327"/>
    </row>
    <row r="36" spans="1:9" x14ac:dyDescent="0.4">
      <c r="I36" s="1" t="s">
        <v>1852</v>
      </c>
    </row>
  </sheetData>
  <mergeCells count="7">
    <mergeCell ref="A34:E34"/>
    <mergeCell ref="A21:E21"/>
    <mergeCell ref="A22:E22"/>
    <mergeCell ref="A23:A24"/>
    <mergeCell ref="B23:C23"/>
    <mergeCell ref="D23:D24"/>
    <mergeCell ref="E23:E2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firstPageNumber="101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00B050"/>
  </sheetPr>
  <dimension ref="A1:S20"/>
  <sheetViews>
    <sheetView rightToLeft="1" zoomScaleNormal="100" workbookViewId="0">
      <selection activeCell="A17" sqref="A17:C17"/>
    </sheetView>
  </sheetViews>
  <sheetFormatPr defaultColWidth="7" defaultRowHeight="15.75" x14ac:dyDescent="0.4"/>
  <cols>
    <col min="1" max="1" width="7.875" style="1401" bestFit="1" customWidth="1"/>
    <col min="2" max="2" width="15.125" style="1401" customWidth="1"/>
    <col min="3" max="3" width="10.875" style="1401" bestFit="1" customWidth="1"/>
    <col min="4" max="5" width="9.875" style="1401" bestFit="1" customWidth="1"/>
    <col min="6" max="7" width="12.25" style="1401" bestFit="1" customWidth="1"/>
    <col min="8" max="8" width="10.875" style="1401" bestFit="1" customWidth="1"/>
    <col min="9" max="9" width="12.25" style="1401" bestFit="1" customWidth="1"/>
    <col min="10" max="10" width="8.875" style="1401" bestFit="1" customWidth="1"/>
    <col min="11" max="11" width="9.875" style="1401" bestFit="1" customWidth="1"/>
    <col min="12" max="14" width="10.875" style="1401" bestFit="1" customWidth="1"/>
    <col min="15" max="15" width="9.875" style="1401" bestFit="1" customWidth="1"/>
    <col min="16" max="16" width="10.875" style="1401" bestFit="1" customWidth="1"/>
    <col min="17" max="17" width="9.875" style="1401" bestFit="1" customWidth="1"/>
    <col min="18" max="18" width="12.25" style="1401" bestFit="1" customWidth="1"/>
    <col min="19" max="19" width="9.75" style="1401" customWidth="1"/>
    <col min="20" max="20" width="1.875" style="1401" bestFit="1" customWidth="1"/>
    <col min="21" max="21" width="7" style="1401"/>
    <col min="22" max="22" width="7.125" style="1401" bestFit="1" customWidth="1"/>
    <col min="23" max="23" width="4.625" style="1401" bestFit="1" customWidth="1"/>
    <col min="24" max="24" width="5" style="1401" bestFit="1" customWidth="1"/>
    <col min="25" max="25" width="3.75" style="1401" bestFit="1" customWidth="1"/>
    <col min="26" max="27" width="4.125" style="1401" bestFit="1" customWidth="1"/>
    <col min="28" max="28" width="6.375" style="1401" bestFit="1" customWidth="1"/>
    <col min="29" max="29" width="12.375" style="1401" customWidth="1"/>
    <col min="30" max="30" width="5.375" style="1401" bestFit="1" customWidth="1"/>
    <col min="31" max="31" width="6" style="1401" bestFit="1" customWidth="1"/>
    <col min="32" max="32" width="6.625" style="1401" bestFit="1" customWidth="1"/>
    <col min="33" max="33" width="5.125" style="1401" bestFit="1" customWidth="1"/>
    <col min="34" max="34" width="6.625" style="1401" bestFit="1" customWidth="1"/>
    <col min="35" max="35" width="5.875" style="1401" bestFit="1" customWidth="1"/>
    <col min="36" max="36" width="4.375" style="1401" bestFit="1" customWidth="1"/>
    <col min="37" max="37" width="3.75" style="1401" bestFit="1" customWidth="1"/>
    <col min="38" max="38" width="2.875" style="1401" bestFit="1" customWidth="1"/>
    <col min="39" max="39" width="11.75" style="1401" customWidth="1"/>
    <col min="40" max="40" width="4.25" style="1401" bestFit="1" customWidth="1"/>
    <col min="41" max="41" width="2.625" style="1401" bestFit="1" customWidth="1"/>
    <col min="42" max="42" width="3.75" style="1401" bestFit="1" customWidth="1"/>
    <col min="43" max="43" width="3.625" style="1401" bestFit="1" customWidth="1"/>
    <col min="44" max="44" width="9.125" style="1401" bestFit="1" customWidth="1"/>
    <col min="45" max="45" width="21.125" style="1401" bestFit="1" customWidth="1"/>
    <col min="46" max="46" width="4.125" style="1401" bestFit="1" customWidth="1"/>
    <col min="47" max="47" width="3.625" style="1401" bestFit="1" customWidth="1"/>
    <col min="48" max="48" width="4.125" style="1401" bestFit="1" customWidth="1"/>
    <col min="49" max="49" width="11.875" style="1401" bestFit="1" customWidth="1"/>
    <col min="50" max="16384" width="7" style="1401"/>
  </cols>
  <sheetData>
    <row r="1" spans="1:18" ht="24.75" thickBot="1" x14ac:dyDescent="0.45">
      <c r="A1" s="3331" t="s">
        <v>874</v>
      </c>
      <c r="B1" s="3332"/>
      <c r="C1" s="3332"/>
      <c r="D1" s="3332"/>
      <c r="E1" s="3332"/>
      <c r="F1" s="3332"/>
      <c r="G1" s="3332"/>
      <c r="H1" s="3332"/>
      <c r="I1" s="3332"/>
      <c r="J1" s="3332"/>
      <c r="K1" s="3332"/>
      <c r="L1" s="3332"/>
      <c r="M1" s="3332"/>
      <c r="N1" s="3332"/>
      <c r="O1" s="3332"/>
      <c r="P1" s="3332"/>
      <c r="Q1" s="3332"/>
      <c r="R1" s="688"/>
    </row>
    <row r="2" spans="1:18" ht="51" thickBot="1" x14ac:dyDescent="0.45">
      <c r="A2" s="1697" t="s">
        <v>118</v>
      </c>
      <c r="B2" s="1698" t="s">
        <v>198</v>
      </c>
      <c r="C2" s="1699" t="s">
        <v>102</v>
      </c>
      <c r="D2" s="1699" t="s">
        <v>113</v>
      </c>
      <c r="E2" s="1699" t="s">
        <v>589</v>
      </c>
      <c r="F2" s="1699" t="s">
        <v>114</v>
      </c>
      <c r="G2" s="1699" t="s">
        <v>99</v>
      </c>
      <c r="H2" s="1699" t="s">
        <v>110</v>
      </c>
      <c r="I2" s="1699" t="s">
        <v>94</v>
      </c>
      <c r="J2" s="1699" t="s">
        <v>97</v>
      </c>
      <c r="K2" s="1699" t="s">
        <v>106</v>
      </c>
      <c r="L2" s="1699" t="s">
        <v>101</v>
      </c>
      <c r="M2" s="1699" t="s">
        <v>212</v>
      </c>
      <c r="N2" s="1699" t="s">
        <v>96</v>
      </c>
      <c r="O2" s="1699" t="s">
        <v>202</v>
      </c>
      <c r="P2" s="1699" t="s">
        <v>104</v>
      </c>
      <c r="Q2" s="1700" t="s">
        <v>108</v>
      </c>
      <c r="R2" s="1701" t="s">
        <v>66</v>
      </c>
    </row>
    <row r="3" spans="1:18" ht="18" x14ac:dyDescent="0.4">
      <c r="A3" s="1711" t="s">
        <v>158</v>
      </c>
      <c r="B3" s="1416">
        <v>153000</v>
      </c>
      <c r="C3" s="690">
        <v>32500000</v>
      </c>
      <c r="D3" s="690">
        <v>265000</v>
      </c>
      <c r="E3" s="690">
        <v>7000000</v>
      </c>
      <c r="F3" s="690">
        <v>66000000</v>
      </c>
      <c r="G3" s="690">
        <v>185800000</v>
      </c>
      <c r="H3" s="691">
        <v>29000000</v>
      </c>
      <c r="I3" s="690">
        <v>162476000</v>
      </c>
      <c r="J3" s="690">
        <v>2000000</v>
      </c>
      <c r="K3" s="690">
        <v>2348000</v>
      </c>
      <c r="L3" s="690">
        <v>0</v>
      </c>
      <c r="M3" s="690">
        <v>38800000</v>
      </c>
      <c r="N3" s="690">
        <v>64531000</v>
      </c>
      <c r="O3" s="690">
        <v>9554000</v>
      </c>
      <c r="P3" s="691">
        <v>10522000</v>
      </c>
      <c r="Q3" s="1417">
        <v>295000</v>
      </c>
      <c r="R3" s="1708">
        <f t="shared" ref="R3:R14" si="0">SUM(B3:Q3)</f>
        <v>611244000</v>
      </c>
    </row>
    <row r="4" spans="1:18" ht="18" x14ac:dyDescent="0.4">
      <c r="A4" s="1712" t="s">
        <v>159</v>
      </c>
      <c r="B4" s="1418">
        <v>14748000</v>
      </c>
      <c r="C4" s="692">
        <v>11493000</v>
      </c>
      <c r="D4" s="692">
        <v>2767000</v>
      </c>
      <c r="E4" s="692">
        <v>10017000</v>
      </c>
      <c r="F4" s="692">
        <v>90996000</v>
      </c>
      <c r="G4" s="692">
        <v>227982000</v>
      </c>
      <c r="H4" s="689">
        <v>50359000</v>
      </c>
      <c r="I4" s="692">
        <v>165333000</v>
      </c>
      <c r="J4" s="692">
        <v>0</v>
      </c>
      <c r="K4" s="692">
        <v>0</v>
      </c>
      <c r="L4" s="692">
        <v>0</v>
      </c>
      <c r="M4" s="692">
        <v>40357000</v>
      </c>
      <c r="N4" s="692">
        <v>77993000</v>
      </c>
      <c r="O4" s="692">
        <v>3396000</v>
      </c>
      <c r="P4" s="689">
        <v>12502000</v>
      </c>
      <c r="Q4" s="1419">
        <v>3360000</v>
      </c>
      <c r="R4" s="1709">
        <f t="shared" si="0"/>
        <v>711303000</v>
      </c>
    </row>
    <row r="5" spans="1:18" ht="18" x14ac:dyDescent="0.4">
      <c r="A5" s="1712" t="s">
        <v>160</v>
      </c>
      <c r="B5" s="1418">
        <v>19372000</v>
      </c>
      <c r="C5" s="692">
        <v>11997000</v>
      </c>
      <c r="D5" s="692">
        <v>0</v>
      </c>
      <c r="E5" s="692">
        <v>7647000</v>
      </c>
      <c r="F5" s="692">
        <v>70034000</v>
      </c>
      <c r="G5" s="692">
        <v>241364000</v>
      </c>
      <c r="H5" s="689">
        <v>66106000</v>
      </c>
      <c r="I5" s="692">
        <v>189029000</v>
      </c>
      <c r="J5" s="692">
        <v>0</v>
      </c>
      <c r="K5" s="692">
        <v>2879000</v>
      </c>
      <c r="L5" s="692">
        <v>0</v>
      </c>
      <c r="M5" s="692">
        <v>0</v>
      </c>
      <c r="N5" s="692">
        <v>36262000</v>
      </c>
      <c r="O5" s="692">
        <v>12512000</v>
      </c>
      <c r="P5" s="689">
        <v>0</v>
      </c>
      <c r="Q5" s="1419">
        <v>7434000</v>
      </c>
      <c r="R5" s="1709">
        <f t="shared" si="0"/>
        <v>664636000</v>
      </c>
    </row>
    <row r="6" spans="1:18" ht="18" x14ac:dyDescent="0.4">
      <c r="A6" s="1712" t="s">
        <v>161</v>
      </c>
      <c r="B6" s="1418">
        <v>924000</v>
      </c>
      <c r="C6" s="692">
        <v>8135000</v>
      </c>
      <c r="D6" s="692">
        <v>0</v>
      </c>
      <c r="E6" s="692">
        <v>0</v>
      </c>
      <c r="F6" s="692">
        <v>73015000</v>
      </c>
      <c r="G6" s="692">
        <v>202323000</v>
      </c>
      <c r="H6" s="689">
        <v>44072000</v>
      </c>
      <c r="I6" s="692">
        <v>124290000</v>
      </c>
      <c r="J6" s="692">
        <v>0</v>
      </c>
      <c r="K6" s="692">
        <v>4390000</v>
      </c>
      <c r="L6" s="692">
        <v>7579000</v>
      </c>
      <c r="M6" s="692">
        <v>14005000</v>
      </c>
      <c r="N6" s="692">
        <v>25512000</v>
      </c>
      <c r="O6" s="692">
        <v>7638000</v>
      </c>
      <c r="P6" s="689">
        <v>5079000</v>
      </c>
      <c r="Q6" s="1419">
        <v>1222000</v>
      </c>
      <c r="R6" s="1709">
        <f t="shared" si="0"/>
        <v>518184000</v>
      </c>
    </row>
    <row r="7" spans="1:18" ht="18" x14ac:dyDescent="0.4">
      <c r="A7" s="1712" t="s">
        <v>162</v>
      </c>
      <c r="B7" s="1418">
        <v>16620000</v>
      </c>
      <c r="C7" s="692">
        <v>3086000</v>
      </c>
      <c r="D7" s="692">
        <v>1895000</v>
      </c>
      <c r="E7" s="692">
        <v>4509000</v>
      </c>
      <c r="F7" s="692">
        <v>92821000</v>
      </c>
      <c r="G7" s="692">
        <v>218369000</v>
      </c>
      <c r="H7" s="689">
        <v>10308000</v>
      </c>
      <c r="I7" s="692">
        <v>142739000</v>
      </c>
      <c r="J7" s="692">
        <v>0</v>
      </c>
      <c r="K7" s="692">
        <v>4389000</v>
      </c>
      <c r="L7" s="692">
        <v>10100000</v>
      </c>
      <c r="M7" s="692">
        <v>23327000</v>
      </c>
      <c r="N7" s="692">
        <v>71364000</v>
      </c>
      <c r="O7" s="692">
        <v>2756000</v>
      </c>
      <c r="P7" s="689">
        <v>9752000</v>
      </c>
      <c r="Q7" s="1419">
        <v>5035000</v>
      </c>
      <c r="R7" s="1709">
        <f t="shared" si="0"/>
        <v>617070000</v>
      </c>
    </row>
    <row r="8" spans="1:18" ht="18" x14ac:dyDescent="0.4">
      <c r="A8" s="1712" t="s">
        <v>163</v>
      </c>
      <c r="B8" s="1418">
        <v>10540000</v>
      </c>
      <c r="C8" s="692">
        <v>1918000</v>
      </c>
      <c r="D8" s="692">
        <v>2381000</v>
      </c>
      <c r="E8" s="692">
        <v>0</v>
      </c>
      <c r="F8" s="692">
        <v>122501000</v>
      </c>
      <c r="G8" s="692">
        <v>234401000</v>
      </c>
      <c r="H8" s="689">
        <v>79000</v>
      </c>
      <c r="I8" s="692">
        <v>135103000</v>
      </c>
      <c r="J8" s="692">
        <v>0</v>
      </c>
      <c r="K8" s="692">
        <v>1877000</v>
      </c>
      <c r="L8" s="692">
        <v>29701000</v>
      </c>
      <c r="M8" s="692">
        <v>35263000</v>
      </c>
      <c r="N8" s="692">
        <v>73466000</v>
      </c>
      <c r="O8" s="692">
        <v>11375000</v>
      </c>
      <c r="P8" s="689">
        <v>82000</v>
      </c>
      <c r="Q8" s="1419">
        <v>4018000</v>
      </c>
      <c r="R8" s="1709">
        <f t="shared" si="0"/>
        <v>662705000</v>
      </c>
    </row>
    <row r="9" spans="1:18" ht="18" x14ac:dyDescent="0.4">
      <c r="A9" s="1712" t="s">
        <v>164</v>
      </c>
      <c r="B9" s="1418">
        <v>1770000</v>
      </c>
      <c r="C9" s="692">
        <v>2941000</v>
      </c>
      <c r="D9" s="692">
        <v>5303000</v>
      </c>
      <c r="E9" s="692">
        <v>10095000</v>
      </c>
      <c r="F9" s="692">
        <v>135052000</v>
      </c>
      <c r="G9" s="692">
        <v>335762000</v>
      </c>
      <c r="H9" s="689">
        <v>23612000</v>
      </c>
      <c r="I9" s="692">
        <v>137370000</v>
      </c>
      <c r="J9" s="692">
        <v>1321000</v>
      </c>
      <c r="K9" s="692">
        <v>4520000</v>
      </c>
      <c r="L9" s="692">
        <v>0</v>
      </c>
      <c r="M9" s="692">
        <v>37639000</v>
      </c>
      <c r="N9" s="692">
        <v>96943000</v>
      </c>
      <c r="O9" s="692">
        <v>1609000</v>
      </c>
      <c r="P9" s="689">
        <v>8568000</v>
      </c>
      <c r="Q9" s="1419">
        <v>2819000</v>
      </c>
      <c r="R9" s="1709">
        <f t="shared" si="0"/>
        <v>805324000</v>
      </c>
    </row>
    <row r="10" spans="1:18" ht="18" x14ac:dyDescent="0.4">
      <c r="A10" s="1712" t="s">
        <v>520</v>
      </c>
      <c r="B10" s="1418">
        <v>0</v>
      </c>
      <c r="C10" s="692">
        <v>19501000</v>
      </c>
      <c r="D10" s="692">
        <v>5000000</v>
      </c>
      <c r="E10" s="692">
        <v>1542000</v>
      </c>
      <c r="F10" s="692">
        <v>129735000</v>
      </c>
      <c r="G10" s="692">
        <v>318413000</v>
      </c>
      <c r="H10" s="689">
        <v>57888000</v>
      </c>
      <c r="I10" s="692">
        <v>178679000</v>
      </c>
      <c r="J10" s="692">
        <v>0</v>
      </c>
      <c r="K10" s="692">
        <v>9166000</v>
      </c>
      <c r="L10" s="692">
        <v>0</v>
      </c>
      <c r="M10" s="692">
        <v>97730000</v>
      </c>
      <c r="N10" s="692">
        <v>81767000</v>
      </c>
      <c r="O10" s="692">
        <v>7653000</v>
      </c>
      <c r="P10" s="689">
        <v>10435000</v>
      </c>
      <c r="Q10" s="1419">
        <v>15547000</v>
      </c>
      <c r="R10" s="1709">
        <f t="shared" si="0"/>
        <v>933056000</v>
      </c>
    </row>
    <row r="11" spans="1:18" ht="18" x14ac:dyDescent="0.4">
      <c r="A11" s="1712" t="s">
        <v>166</v>
      </c>
      <c r="B11" s="1418">
        <v>0</v>
      </c>
      <c r="C11" s="692">
        <v>18404000</v>
      </c>
      <c r="D11" s="692">
        <v>2397000</v>
      </c>
      <c r="E11" s="692">
        <v>22569000</v>
      </c>
      <c r="F11" s="692">
        <v>133459000</v>
      </c>
      <c r="G11" s="692">
        <v>295032000</v>
      </c>
      <c r="H11" s="689">
        <v>42061000</v>
      </c>
      <c r="I11" s="692">
        <v>196169000</v>
      </c>
      <c r="J11" s="692">
        <v>0</v>
      </c>
      <c r="K11" s="692">
        <v>12229000</v>
      </c>
      <c r="L11" s="692">
        <v>0</v>
      </c>
      <c r="M11" s="692">
        <v>48845000</v>
      </c>
      <c r="N11" s="692">
        <v>88035000</v>
      </c>
      <c r="O11" s="692">
        <v>1490000</v>
      </c>
      <c r="P11" s="689">
        <v>13434000</v>
      </c>
      <c r="Q11" s="1419">
        <v>4910000</v>
      </c>
      <c r="R11" s="1709">
        <f t="shared" si="0"/>
        <v>879034000</v>
      </c>
    </row>
    <row r="12" spans="1:18" ht="18" x14ac:dyDescent="0.4">
      <c r="A12" s="1712" t="s">
        <v>521</v>
      </c>
      <c r="B12" s="1418">
        <v>0</v>
      </c>
      <c r="C12" s="692">
        <v>4543000</v>
      </c>
      <c r="D12" s="692">
        <v>3852000</v>
      </c>
      <c r="E12" s="692">
        <v>26170000</v>
      </c>
      <c r="F12" s="692">
        <v>118828000</v>
      </c>
      <c r="G12" s="692">
        <v>312293000</v>
      </c>
      <c r="H12" s="689">
        <v>92115000</v>
      </c>
      <c r="I12" s="692">
        <v>211671000</v>
      </c>
      <c r="J12" s="692">
        <v>0</v>
      </c>
      <c r="K12" s="692">
        <v>18572000</v>
      </c>
      <c r="L12" s="692">
        <v>0</v>
      </c>
      <c r="M12" s="692">
        <v>430000</v>
      </c>
      <c r="N12" s="692">
        <v>65140000</v>
      </c>
      <c r="O12" s="692">
        <v>2571000</v>
      </c>
      <c r="P12" s="689">
        <v>13497000</v>
      </c>
      <c r="Q12" s="1419">
        <v>4462000</v>
      </c>
      <c r="R12" s="1709">
        <f t="shared" si="0"/>
        <v>874144000</v>
      </c>
    </row>
    <row r="13" spans="1:18" ht="18" x14ac:dyDescent="0.4">
      <c r="A13" s="1712" t="s">
        <v>168</v>
      </c>
      <c r="B13" s="1418">
        <v>0</v>
      </c>
      <c r="C13" s="692">
        <v>16699000</v>
      </c>
      <c r="D13" s="692">
        <v>15723000</v>
      </c>
      <c r="E13" s="692">
        <v>0</v>
      </c>
      <c r="F13" s="692">
        <v>174969000</v>
      </c>
      <c r="G13" s="692">
        <v>342546000</v>
      </c>
      <c r="H13" s="689">
        <v>85362000</v>
      </c>
      <c r="I13" s="692">
        <v>342534000</v>
      </c>
      <c r="J13" s="692">
        <v>1662000</v>
      </c>
      <c r="K13" s="692">
        <v>8969000</v>
      </c>
      <c r="L13" s="692">
        <v>0</v>
      </c>
      <c r="M13" s="692">
        <v>0</v>
      </c>
      <c r="N13" s="692">
        <v>148069000</v>
      </c>
      <c r="O13" s="692">
        <v>1747000</v>
      </c>
      <c r="P13" s="689">
        <v>13579000</v>
      </c>
      <c r="Q13" s="1419">
        <v>5949000</v>
      </c>
      <c r="R13" s="1709">
        <f t="shared" si="0"/>
        <v>1157808000</v>
      </c>
    </row>
    <row r="14" spans="1:18" ht="18.75" thickBot="1" x14ac:dyDescent="0.45">
      <c r="A14" s="1713" t="s">
        <v>169</v>
      </c>
      <c r="B14" s="1420">
        <v>0</v>
      </c>
      <c r="C14" s="1421">
        <v>17154000</v>
      </c>
      <c r="D14" s="1421">
        <v>10022000</v>
      </c>
      <c r="E14" s="1421">
        <v>9676000</v>
      </c>
      <c r="F14" s="1421">
        <v>180061000</v>
      </c>
      <c r="G14" s="1421">
        <v>518271000</v>
      </c>
      <c r="H14" s="693">
        <v>66049000</v>
      </c>
      <c r="I14" s="1421">
        <v>253260000</v>
      </c>
      <c r="J14" s="1421">
        <v>2332000</v>
      </c>
      <c r="K14" s="1421">
        <v>8904000</v>
      </c>
      <c r="L14" s="1421">
        <v>59759000</v>
      </c>
      <c r="M14" s="1421">
        <v>11108000</v>
      </c>
      <c r="N14" s="1421">
        <v>122173000</v>
      </c>
      <c r="O14" s="1421">
        <v>0</v>
      </c>
      <c r="P14" s="693">
        <v>18417000</v>
      </c>
      <c r="Q14" s="694">
        <v>4487000</v>
      </c>
      <c r="R14" s="1710">
        <f t="shared" si="0"/>
        <v>1281673000</v>
      </c>
    </row>
    <row r="15" spans="1:18" ht="18.75" thickBot="1" x14ac:dyDescent="0.45">
      <c r="A15" s="1702" t="s">
        <v>170</v>
      </c>
      <c r="B15" s="1703">
        <f t="shared" ref="B15" si="1">SUM(B3:B14)</f>
        <v>64127000</v>
      </c>
      <c r="C15" s="1704">
        <f>SUM(C3:C14)</f>
        <v>148371000</v>
      </c>
      <c r="D15" s="1704">
        <v>49605000</v>
      </c>
      <c r="E15" s="1704">
        <v>99225000</v>
      </c>
      <c r="F15" s="1704">
        <v>1387471000</v>
      </c>
      <c r="G15" s="1704">
        <f t="shared" ref="G15" si="2">SUM(G3:G14)</f>
        <v>3432556000</v>
      </c>
      <c r="H15" s="1705">
        <v>567011000</v>
      </c>
      <c r="I15" s="1704">
        <v>2238653000</v>
      </c>
      <c r="J15" s="1705">
        <v>7315000</v>
      </c>
      <c r="K15" s="1704">
        <v>78243000</v>
      </c>
      <c r="L15" s="1704">
        <v>107139000</v>
      </c>
      <c r="M15" s="1705">
        <v>347504000</v>
      </c>
      <c r="N15" s="1705">
        <v>951255000</v>
      </c>
      <c r="O15" s="1705">
        <v>62301000</v>
      </c>
      <c r="P15" s="1705">
        <v>115867000</v>
      </c>
      <c r="Q15" s="1706">
        <v>59538000</v>
      </c>
      <c r="R15" s="1707">
        <f>SUM(R3:R14)</f>
        <v>9716181000</v>
      </c>
    </row>
    <row r="16" spans="1:18" x14ac:dyDescent="0.4">
      <c r="A16" s="3333" t="s">
        <v>1853</v>
      </c>
      <c r="B16" s="3333"/>
      <c r="C16" s="3333"/>
      <c r="D16" s="3333"/>
      <c r="E16" s="3333"/>
    </row>
    <row r="17" spans="1:19" x14ac:dyDescent="0.4">
      <c r="A17" s="3334" t="s">
        <v>873</v>
      </c>
      <c r="B17" s="3334"/>
      <c r="C17" s="1727"/>
    </row>
    <row r="18" spans="1:19" ht="18" x14ac:dyDescent="0.45">
      <c r="A18" s="695"/>
      <c r="B18" s="695"/>
      <c r="C18" s="695"/>
      <c r="D18" s="695"/>
      <c r="E18" s="695"/>
      <c r="F18" s="695"/>
      <c r="G18" s="695"/>
      <c r="H18" s="695"/>
      <c r="I18" s="695"/>
      <c r="J18" s="695"/>
      <c r="K18" s="695"/>
      <c r="L18" s="695"/>
      <c r="M18" s="695"/>
      <c r="N18" s="695"/>
      <c r="O18" s="695"/>
      <c r="P18" s="695"/>
      <c r="Q18" s="695"/>
      <c r="R18" s="695"/>
    </row>
    <row r="19" spans="1:19" ht="18" x14ac:dyDescent="0.45">
      <c r="A19" s="695"/>
    </row>
    <row r="20" spans="1:19" ht="18" x14ac:dyDescent="0.45">
      <c r="A20" s="695"/>
      <c r="B20" s="695"/>
      <c r="C20" s="695"/>
      <c r="D20" s="695"/>
      <c r="E20" s="695"/>
      <c r="F20" s="695"/>
      <c r="G20" s="695"/>
      <c r="H20" s="695"/>
      <c r="I20" s="695"/>
      <c r="J20" s="695"/>
      <c r="K20" s="695"/>
      <c r="L20" s="695"/>
      <c r="M20" s="695"/>
      <c r="N20" s="695"/>
      <c r="O20" s="695"/>
      <c r="P20" s="695"/>
      <c r="Q20" s="695"/>
      <c r="R20" s="695"/>
      <c r="S20" s="1422" t="s">
        <v>1854</v>
      </c>
    </row>
  </sheetData>
  <mergeCells count="3">
    <mergeCell ref="A1:Q1"/>
    <mergeCell ref="A16:E16"/>
    <mergeCell ref="A17:B17"/>
  </mergeCells>
  <printOptions horizontalCentered="1" verticalCentered="1"/>
  <pageMargins left="0.39370078740157483" right="0.39370078740157483" top="0.98425196850393704" bottom="0.98425196850393704" header="0" footer="0"/>
  <pageSetup paperSize="9" scale="70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00B050"/>
  </sheetPr>
  <dimension ref="A1:T30"/>
  <sheetViews>
    <sheetView rightToLeft="1" topLeftCell="A9" zoomScale="115" workbookViewId="0">
      <selection activeCell="I11" sqref="I11"/>
    </sheetView>
  </sheetViews>
  <sheetFormatPr defaultColWidth="7" defaultRowHeight="15.75" x14ac:dyDescent="0.4"/>
  <cols>
    <col min="1" max="1" width="9.375" style="1" bestFit="1" customWidth="1"/>
    <col min="2" max="2" width="10.875" style="1" bestFit="1" customWidth="1"/>
    <col min="3" max="3" width="12.25" style="1" bestFit="1" customWidth="1"/>
    <col min="4" max="4" width="10.625" style="1" bestFit="1" customWidth="1"/>
    <col min="5" max="5" width="12.25" style="1" bestFit="1" customWidth="1"/>
    <col min="6" max="6" width="11.625" style="1" bestFit="1" customWidth="1"/>
    <col min="7" max="7" width="13.625" style="1" bestFit="1" customWidth="1"/>
    <col min="8" max="8" width="13.875" style="1" bestFit="1" customWidth="1"/>
    <col min="9" max="9" width="12.25" style="1" bestFit="1" customWidth="1"/>
    <col min="10" max="10" width="14.25" style="1" bestFit="1" customWidth="1"/>
    <col min="11" max="11" width="10" style="1" bestFit="1" customWidth="1"/>
    <col min="12" max="12" width="11.125" style="1" bestFit="1" customWidth="1"/>
    <col min="13" max="13" width="12.125" style="1" bestFit="1" customWidth="1"/>
    <col min="14" max="14" width="12.25" style="1" bestFit="1" customWidth="1"/>
    <col min="15" max="15" width="12" style="1" bestFit="1" customWidth="1"/>
    <col min="16" max="16" width="11" style="1" bestFit="1" customWidth="1"/>
    <col min="17" max="17" width="11.375" style="1" bestFit="1" customWidth="1"/>
    <col min="18" max="18" width="11" style="1" bestFit="1" customWidth="1"/>
    <col min="19" max="19" width="14" style="1" bestFit="1" customWidth="1"/>
    <col min="20" max="20" width="8.75" style="1" bestFit="1" customWidth="1"/>
    <col min="21" max="16384" width="7" style="1"/>
  </cols>
  <sheetData>
    <row r="1" spans="1:19" ht="21.75" thickBot="1" x14ac:dyDescent="0.6">
      <c r="A1" s="3335" t="s">
        <v>875</v>
      </c>
      <c r="B1" s="3336"/>
      <c r="C1" s="3336"/>
      <c r="D1" s="3336"/>
      <c r="E1" s="3336"/>
      <c r="F1" s="3336"/>
      <c r="G1" s="3336"/>
      <c r="H1" s="3336"/>
      <c r="I1" s="3336"/>
      <c r="J1" s="3336"/>
      <c r="K1" s="3336"/>
      <c r="L1" s="3336"/>
      <c r="M1" s="3336"/>
      <c r="N1" s="3336"/>
      <c r="O1" s="3336"/>
      <c r="P1" s="3336"/>
      <c r="Q1" s="3336"/>
      <c r="R1" s="3336"/>
      <c r="S1" s="1422" t="s">
        <v>1854</v>
      </c>
    </row>
    <row r="2" spans="1:19" ht="54" thickBot="1" x14ac:dyDescent="0.45">
      <c r="A2" s="1717" t="s">
        <v>118</v>
      </c>
      <c r="B2" s="1718" t="s">
        <v>198</v>
      </c>
      <c r="C2" s="1718" t="s">
        <v>102</v>
      </c>
      <c r="D2" s="1718" t="s">
        <v>199</v>
      </c>
      <c r="E2" s="1718" t="s">
        <v>113</v>
      </c>
      <c r="F2" s="1718" t="s">
        <v>589</v>
      </c>
      <c r="G2" s="1718" t="s">
        <v>114</v>
      </c>
      <c r="H2" s="1718" t="s">
        <v>99</v>
      </c>
      <c r="I2" s="1718" t="s">
        <v>110</v>
      </c>
      <c r="J2" s="1718" t="s">
        <v>201</v>
      </c>
      <c r="K2" s="1718" t="s">
        <v>97</v>
      </c>
      <c r="L2" s="1718" t="s">
        <v>106</v>
      </c>
      <c r="M2" s="1718" t="s">
        <v>101</v>
      </c>
      <c r="N2" s="1718" t="s">
        <v>212</v>
      </c>
      <c r="O2" s="1718" t="s">
        <v>96</v>
      </c>
      <c r="P2" s="1718" t="s">
        <v>202</v>
      </c>
      <c r="Q2" s="1718" t="s">
        <v>104</v>
      </c>
      <c r="R2" s="1718" t="s">
        <v>108</v>
      </c>
      <c r="S2" s="1719" t="s">
        <v>170</v>
      </c>
    </row>
    <row r="3" spans="1:19" ht="27" customHeight="1" x14ac:dyDescent="0.4">
      <c r="A3" s="1723" t="s">
        <v>158</v>
      </c>
      <c r="B3" s="1714">
        <v>153391</v>
      </c>
      <c r="C3" s="1715">
        <v>32468303</v>
      </c>
      <c r="D3" s="1715">
        <v>0</v>
      </c>
      <c r="E3" s="1425">
        <v>265539</v>
      </c>
      <c r="F3" s="1715">
        <v>6586905</v>
      </c>
      <c r="G3" s="1715">
        <v>70907511</v>
      </c>
      <c r="H3" s="1715">
        <v>1157058901</v>
      </c>
      <c r="I3" s="1714">
        <v>28881992</v>
      </c>
      <c r="J3" s="1715">
        <v>234783501</v>
      </c>
      <c r="K3" s="1715">
        <v>1862021</v>
      </c>
      <c r="L3" s="1715">
        <v>5048397</v>
      </c>
      <c r="M3" s="1715">
        <v>41066021</v>
      </c>
      <c r="N3" s="1715">
        <v>38769882</v>
      </c>
      <c r="O3" s="1715">
        <v>64531537</v>
      </c>
      <c r="P3" s="1715">
        <v>9527095</v>
      </c>
      <c r="Q3" s="1714">
        <v>10522840</v>
      </c>
      <c r="R3" s="1715">
        <v>295610</v>
      </c>
      <c r="S3" s="1716">
        <v>1702729446</v>
      </c>
    </row>
    <row r="4" spans="1:19" ht="27" customHeight="1" x14ac:dyDescent="0.4">
      <c r="A4" s="1724" t="s">
        <v>159</v>
      </c>
      <c r="B4" s="1423">
        <v>14748045</v>
      </c>
      <c r="C4" s="1424">
        <v>11493960</v>
      </c>
      <c r="D4" s="1423">
        <v>0</v>
      </c>
      <c r="E4" s="1424">
        <v>2762234</v>
      </c>
      <c r="F4" s="1424">
        <v>10017405</v>
      </c>
      <c r="G4" s="1424">
        <v>97876902</v>
      </c>
      <c r="H4" s="1424">
        <v>1143441524</v>
      </c>
      <c r="I4" s="1423">
        <v>50359009</v>
      </c>
      <c r="J4" s="1424">
        <v>233906215</v>
      </c>
      <c r="K4" s="1424">
        <v>0</v>
      </c>
      <c r="L4" s="1424">
        <v>677730</v>
      </c>
      <c r="M4" s="1424">
        <v>102553962</v>
      </c>
      <c r="N4" s="1424">
        <v>40357080</v>
      </c>
      <c r="O4" s="1424">
        <v>77993251</v>
      </c>
      <c r="P4" s="1424">
        <v>3396871</v>
      </c>
      <c r="Q4" s="1423">
        <v>12502800</v>
      </c>
      <c r="R4" s="1424">
        <v>3360878</v>
      </c>
      <c r="S4" s="1426">
        <v>1805447847</v>
      </c>
    </row>
    <row r="5" spans="1:19" ht="27" customHeight="1" x14ac:dyDescent="0.4">
      <c r="A5" s="1724" t="s">
        <v>160</v>
      </c>
      <c r="B5" s="1424">
        <v>19372872</v>
      </c>
      <c r="C5" s="1424">
        <v>11996608</v>
      </c>
      <c r="D5" s="1424">
        <v>0</v>
      </c>
      <c r="E5" s="1424">
        <v>11736930</v>
      </c>
      <c r="F5" s="1424">
        <v>7647107</v>
      </c>
      <c r="G5" s="1424">
        <v>81428517</v>
      </c>
      <c r="H5" s="1424">
        <v>1170144725</v>
      </c>
      <c r="I5" s="1423">
        <v>66106437</v>
      </c>
      <c r="J5" s="1424">
        <v>280592432</v>
      </c>
      <c r="K5" s="1424">
        <v>0</v>
      </c>
      <c r="L5" s="1424">
        <v>3218165</v>
      </c>
      <c r="M5" s="1424">
        <v>112404524</v>
      </c>
      <c r="N5" s="1424">
        <v>0</v>
      </c>
      <c r="O5" s="1424">
        <v>41756155</v>
      </c>
      <c r="P5" s="1424">
        <v>12512616</v>
      </c>
      <c r="Q5" s="1424">
        <v>0</v>
      </c>
      <c r="R5" s="1424">
        <v>7434585</v>
      </c>
      <c r="S5" s="1426">
        <v>1826351673</v>
      </c>
    </row>
    <row r="6" spans="1:19" ht="27" customHeight="1" x14ac:dyDescent="0.4">
      <c r="A6" s="1724" t="s">
        <v>161</v>
      </c>
      <c r="B6" s="1424">
        <v>924321</v>
      </c>
      <c r="C6" s="1424">
        <v>8135998</v>
      </c>
      <c r="D6" s="1424">
        <v>0</v>
      </c>
      <c r="E6" s="1424">
        <v>24255980</v>
      </c>
      <c r="F6" s="1423">
        <v>0</v>
      </c>
      <c r="G6" s="1424">
        <v>88923334</v>
      </c>
      <c r="H6" s="1424">
        <v>1212929640</v>
      </c>
      <c r="I6" s="1423">
        <v>44072317</v>
      </c>
      <c r="J6" s="1424">
        <v>177013308</v>
      </c>
      <c r="K6" s="1424">
        <v>0</v>
      </c>
      <c r="L6" s="1424">
        <v>7052717</v>
      </c>
      <c r="M6" s="1424">
        <v>99278283</v>
      </c>
      <c r="N6" s="1424">
        <v>14005608</v>
      </c>
      <c r="O6" s="1424">
        <v>25538576</v>
      </c>
      <c r="P6" s="1424">
        <v>7638810</v>
      </c>
      <c r="Q6" s="1423">
        <v>5079578</v>
      </c>
      <c r="R6" s="1423">
        <v>1222630</v>
      </c>
      <c r="S6" s="1426">
        <v>1716071104</v>
      </c>
    </row>
    <row r="7" spans="1:19" ht="27" customHeight="1" x14ac:dyDescent="0.4">
      <c r="A7" s="1724" t="s">
        <v>162</v>
      </c>
      <c r="B7" s="1423">
        <v>16620794</v>
      </c>
      <c r="C7" s="1424">
        <v>3086530</v>
      </c>
      <c r="D7" s="1423">
        <v>0</v>
      </c>
      <c r="E7" s="1424">
        <v>11046122</v>
      </c>
      <c r="F7" s="1424">
        <v>4509079</v>
      </c>
      <c r="G7" s="1424">
        <v>114824713</v>
      </c>
      <c r="H7" s="1424">
        <v>1480253137</v>
      </c>
      <c r="I7" s="1423">
        <v>10308084</v>
      </c>
      <c r="J7" s="1424">
        <v>197109526</v>
      </c>
      <c r="K7" s="1424">
        <v>0</v>
      </c>
      <c r="L7" s="1424">
        <v>7798634</v>
      </c>
      <c r="M7" s="1424">
        <v>72617495</v>
      </c>
      <c r="N7" s="1424">
        <v>23327350</v>
      </c>
      <c r="O7" s="1424">
        <v>71364797</v>
      </c>
      <c r="P7" s="1424">
        <v>2756182</v>
      </c>
      <c r="Q7" s="1423">
        <v>9752605</v>
      </c>
      <c r="R7" s="1424">
        <v>5035994</v>
      </c>
      <c r="S7" s="1426">
        <v>2030411034</v>
      </c>
    </row>
    <row r="8" spans="1:19" ht="27" customHeight="1" x14ac:dyDescent="0.4">
      <c r="A8" s="1724" t="s">
        <v>163</v>
      </c>
      <c r="B8" s="1423">
        <v>10540856</v>
      </c>
      <c r="C8" s="1424">
        <v>1918230</v>
      </c>
      <c r="D8" s="1424">
        <v>0</v>
      </c>
      <c r="E8" s="1424">
        <v>5175088</v>
      </c>
      <c r="F8" s="1424">
        <v>0</v>
      </c>
      <c r="G8" s="1424">
        <v>127185987</v>
      </c>
      <c r="H8" s="1424">
        <v>1603243210</v>
      </c>
      <c r="I8" s="1423">
        <v>79048</v>
      </c>
      <c r="J8" s="1424">
        <v>224113029</v>
      </c>
      <c r="K8" s="1424">
        <v>0</v>
      </c>
      <c r="L8" s="1424">
        <v>3313845</v>
      </c>
      <c r="M8" s="1424">
        <v>108840405</v>
      </c>
      <c r="N8" s="1424">
        <v>35263115</v>
      </c>
      <c r="O8" s="1424">
        <v>83630517</v>
      </c>
      <c r="P8" s="1424">
        <v>11375070</v>
      </c>
      <c r="Q8" s="1423">
        <v>82372</v>
      </c>
      <c r="R8" s="1424">
        <v>4018730</v>
      </c>
      <c r="S8" s="1426">
        <v>2218779504</v>
      </c>
    </row>
    <row r="9" spans="1:19" ht="27" customHeight="1" x14ac:dyDescent="0.4">
      <c r="A9" s="1724" t="s">
        <v>164</v>
      </c>
      <c r="B9" s="1423">
        <v>1770620</v>
      </c>
      <c r="C9" s="1424">
        <v>2941644</v>
      </c>
      <c r="D9" s="1423">
        <v>48009342</v>
      </c>
      <c r="E9" s="1424">
        <v>30286397</v>
      </c>
      <c r="F9" s="1424">
        <v>10095439</v>
      </c>
      <c r="G9" s="1424">
        <v>158455115</v>
      </c>
      <c r="H9" s="1424">
        <v>2362846009</v>
      </c>
      <c r="I9" s="1423">
        <v>23612493</v>
      </c>
      <c r="J9" s="1424">
        <v>261253921</v>
      </c>
      <c r="K9" s="1424">
        <v>1321140</v>
      </c>
      <c r="L9" s="1424">
        <v>5023723</v>
      </c>
      <c r="M9" s="1424">
        <v>105349985</v>
      </c>
      <c r="N9" s="1423">
        <v>37639312</v>
      </c>
      <c r="O9" s="1424">
        <v>96943640</v>
      </c>
      <c r="P9" s="1424">
        <v>1609980</v>
      </c>
      <c r="Q9" s="1423">
        <v>8568948</v>
      </c>
      <c r="R9" s="1424">
        <v>2819900</v>
      </c>
      <c r="S9" s="1426">
        <v>3158547605</v>
      </c>
    </row>
    <row r="10" spans="1:19" ht="27" customHeight="1" x14ac:dyDescent="0.4">
      <c r="A10" s="1724" t="s">
        <v>520</v>
      </c>
      <c r="B10" s="1423">
        <v>0</v>
      </c>
      <c r="C10" s="1424">
        <v>19501037</v>
      </c>
      <c r="D10" s="1423">
        <v>0</v>
      </c>
      <c r="E10" s="1423">
        <v>29611199</v>
      </c>
      <c r="F10" s="1424">
        <v>1542808</v>
      </c>
      <c r="G10" s="1424">
        <v>140943233</v>
      </c>
      <c r="H10" s="1424">
        <v>2595366110</v>
      </c>
      <c r="I10" s="1424">
        <v>57888351</v>
      </c>
      <c r="J10" s="1424">
        <v>302894549</v>
      </c>
      <c r="K10" s="1424">
        <v>0</v>
      </c>
      <c r="L10" s="1424">
        <v>11220389</v>
      </c>
      <c r="M10" s="1424">
        <v>123357087</v>
      </c>
      <c r="N10" s="1423">
        <v>97730399</v>
      </c>
      <c r="O10" s="1424">
        <v>81767795</v>
      </c>
      <c r="P10" s="1424">
        <v>7653870</v>
      </c>
      <c r="Q10" s="1423">
        <v>10432279</v>
      </c>
      <c r="R10" s="1424">
        <v>15547720</v>
      </c>
      <c r="S10" s="1426">
        <v>3495456830</v>
      </c>
    </row>
    <row r="11" spans="1:19" ht="27" customHeight="1" x14ac:dyDescent="0.4">
      <c r="A11" s="1724" t="s">
        <v>166</v>
      </c>
      <c r="B11" s="1423">
        <v>0</v>
      </c>
      <c r="C11" s="1424">
        <v>18404517</v>
      </c>
      <c r="D11" s="1423">
        <v>0</v>
      </c>
      <c r="E11" s="1424">
        <v>23298496</v>
      </c>
      <c r="F11" s="1424">
        <v>22569966</v>
      </c>
      <c r="G11" s="1424">
        <v>134132545</v>
      </c>
      <c r="H11" s="1424">
        <v>2845420909</v>
      </c>
      <c r="I11" s="1424">
        <v>42061994</v>
      </c>
      <c r="J11" s="1424">
        <v>297467401</v>
      </c>
      <c r="K11" s="1424">
        <v>0</v>
      </c>
      <c r="L11" s="1424">
        <v>13533360</v>
      </c>
      <c r="M11" s="1424">
        <v>92169463</v>
      </c>
      <c r="N11" s="1423">
        <v>48845251</v>
      </c>
      <c r="O11" s="1424">
        <v>88035906</v>
      </c>
      <c r="P11" s="1424">
        <v>1490530</v>
      </c>
      <c r="Q11" s="1423">
        <v>13434311</v>
      </c>
      <c r="R11" s="1424">
        <v>4902263</v>
      </c>
      <c r="S11" s="1426">
        <v>3645766914</v>
      </c>
    </row>
    <row r="12" spans="1:19" ht="27" customHeight="1" x14ac:dyDescent="0.4">
      <c r="A12" s="1724" t="s">
        <v>521</v>
      </c>
      <c r="B12" s="1423">
        <v>0</v>
      </c>
      <c r="C12" s="1424">
        <v>4543115</v>
      </c>
      <c r="D12" s="1424">
        <v>0</v>
      </c>
      <c r="E12" s="1423">
        <v>53465556</v>
      </c>
      <c r="F12" s="1423">
        <v>26170058</v>
      </c>
      <c r="G12" s="1424">
        <v>151443939</v>
      </c>
      <c r="H12" s="1424">
        <v>4597756055</v>
      </c>
      <c r="I12" s="1424">
        <v>92115173</v>
      </c>
      <c r="J12" s="1424">
        <v>410939595</v>
      </c>
      <c r="K12" s="1424">
        <v>0</v>
      </c>
      <c r="L12" s="1424">
        <v>18572829</v>
      </c>
      <c r="M12" s="1424">
        <v>66868838</v>
      </c>
      <c r="N12" s="1423">
        <v>430627</v>
      </c>
      <c r="O12" s="1424">
        <v>65135379</v>
      </c>
      <c r="P12" s="1424">
        <v>2571886</v>
      </c>
      <c r="Q12" s="1423">
        <v>13497028</v>
      </c>
      <c r="R12" s="1424">
        <v>4462259</v>
      </c>
      <c r="S12" s="1426">
        <v>5507972330</v>
      </c>
    </row>
    <row r="13" spans="1:19" ht="27" customHeight="1" x14ac:dyDescent="0.4">
      <c r="A13" s="1724" t="s">
        <v>168</v>
      </c>
      <c r="B13" s="1423">
        <v>0</v>
      </c>
      <c r="C13" s="1424">
        <v>16699334</v>
      </c>
      <c r="D13" s="1424">
        <v>0</v>
      </c>
      <c r="E13" s="1424">
        <v>46824899</v>
      </c>
      <c r="F13" s="1424">
        <v>0</v>
      </c>
      <c r="G13" s="1424">
        <v>195735207</v>
      </c>
      <c r="H13" s="1424">
        <v>4576904989</v>
      </c>
      <c r="I13" s="1424">
        <v>85362177</v>
      </c>
      <c r="J13" s="1424">
        <v>504253874</v>
      </c>
      <c r="K13" s="1423">
        <v>1662907</v>
      </c>
      <c r="L13" s="1424">
        <v>8969150</v>
      </c>
      <c r="M13" s="1424">
        <v>100593354</v>
      </c>
      <c r="N13" s="1424">
        <v>0</v>
      </c>
      <c r="O13" s="1424">
        <v>148676190</v>
      </c>
      <c r="P13" s="1424">
        <v>1747848</v>
      </c>
      <c r="Q13" s="1424">
        <v>13574190</v>
      </c>
      <c r="R13" s="1424">
        <v>5949012</v>
      </c>
      <c r="S13" s="1426">
        <v>5706953135</v>
      </c>
    </row>
    <row r="14" spans="1:19" ht="27" customHeight="1" x14ac:dyDescent="0.4">
      <c r="A14" s="1724" t="s">
        <v>169</v>
      </c>
      <c r="B14" s="1424">
        <v>0</v>
      </c>
      <c r="C14" s="1424">
        <v>17154517</v>
      </c>
      <c r="D14" s="1423">
        <v>0</v>
      </c>
      <c r="E14" s="1424">
        <v>15918335</v>
      </c>
      <c r="F14" s="1424">
        <v>9686010</v>
      </c>
      <c r="G14" s="1424">
        <v>311010973</v>
      </c>
      <c r="H14" s="1424">
        <v>4176125551</v>
      </c>
      <c r="I14" s="1423">
        <v>66049259</v>
      </c>
      <c r="J14" s="1424">
        <v>333936008</v>
      </c>
      <c r="K14" s="1424">
        <v>2332674</v>
      </c>
      <c r="L14" s="1424">
        <v>8904250</v>
      </c>
      <c r="M14" s="1424">
        <v>186567671</v>
      </c>
      <c r="N14" s="1424">
        <v>11108370</v>
      </c>
      <c r="O14" s="1424">
        <v>125429783</v>
      </c>
      <c r="P14" s="1424">
        <v>0</v>
      </c>
      <c r="Q14" s="1423">
        <v>18417718</v>
      </c>
      <c r="R14" s="1424">
        <v>4487148</v>
      </c>
      <c r="S14" s="1426">
        <v>5287128261</v>
      </c>
    </row>
    <row r="15" spans="1:19" ht="27" customHeight="1" thickBot="1" x14ac:dyDescent="0.45">
      <c r="A15" s="1720" t="s">
        <v>170</v>
      </c>
      <c r="B15" s="1721">
        <v>64130899</v>
      </c>
      <c r="C15" s="1721">
        <v>148343793</v>
      </c>
      <c r="D15" s="1721">
        <v>48009342</v>
      </c>
      <c r="E15" s="1721">
        <v>254646775</v>
      </c>
      <c r="F15" s="1721">
        <v>98824777</v>
      </c>
      <c r="G15" s="1721">
        <v>1672867976</v>
      </c>
      <c r="H15" s="1721">
        <v>28921490760</v>
      </c>
      <c r="I15" s="1721">
        <v>566896334</v>
      </c>
      <c r="J15" s="1721">
        <v>3458263359</v>
      </c>
      <c r="K15" s="1721">
        <v>7178742</v>
      </c>
      <c r="L15" s="1721">
        <v>93333178</v>
      </c>
      <c r="M15" s="1721">
        <v>1211667093</v>
      </c>
      <c r="N15" s="1721">
        <v>347476994</v>
      </c>
      <c r="O15" s="1721">
        <v>970803515</v>
      </c>
      <c r="P15" s="1721">
        <v>62280758</v>
      </c>
      <c r="Q15" s="1721">
        <v>115864669</v>
      </c>
      <c r="R15" s="1721">
        <v>59536729</v>
      </c>
      <c r="S15" s="1722">
        <v>38101615685</v>
      </c>
    </row>
    <row r="16" spans="1:19" ht="17.25" customHeight="1" x14ac:dyDescent="0.4">
      <c r="A16" s="3337" t="s">
        <v>1853</v>
      </c>
      <c r="B16" s="3337"/>
      <c r="C16" s="3337"/>
      <c r="D16" s="3337"/>
      <c r="E16" s="3337"/>
      <c r="F16" s="1401"/>
      <c r="G16" s="1401"/>
      <c r="H16" s="1401"/>
      <c r="I16" s="1401"/>
      <c r="J16" s="1401"/>
      <c r="K16" s="1401"/>
      <c r="L16" s="1401"/>
      <c r="M16" s="1401"/>
      <c r="N16" s="1401"/>
      <c r="O16" s="1401"/>
      <c r="P16" s="1401"/>
      <c r="Q16" s="1401"/>
      <c r="R16" s="1401"/>
      <c r="S16" s="1401"/>
    </row>
    <row r="17" spans="1:20" x14ac:dyDescent="0.4">
      <c r="A17" s="1427" t="s">
        <v>873</v>
      </c>
      <c r="B17" s="1427"/>
      <c r="C17" s="1427"/>
      <c r="D17" s="1401"/>
      <c r="E17" s="1401"/>
      <c r="F17" s="1401"/>
      <c r="G17" s="1401"/>
      <c r="H17" s="1401"/>
      <c r="I17" s="1401"/>
      <c r="J17" s="1401"/>
      <c r="K17" s="1401"/>
      <c r="L17" s="1401"/>
      <c r="M17" s="1401"/>
      <c r="N17" s="1401"/>
      <c r="O17" s="1401"/>
      <c r="P17" s="1401"/>
      <c r="Q17" s="1401"/>
      <c r="R17" s="1401"/>
      <c r="S17" s="1401"/>
    </row>
    <row r="18" spans="1:20" ht="26.25" x14ac:dyDescent="0.65">
      <c r="B18" s="1401"/>
      <c r="C18" s="1401"/>
      <c r="D18" s="1401"/>
      <c r="E18" s="1401"/>
      <c r="F18" s="1401"/>
      <c r="G18" s="1401"/>
      <c r="H18" s="1401"/>
      <c r="I18" s="1401"/>
      <c r="J18" s="2282" t="s">
        <v>1935</v>
      </c>
      <c r="K18" s="2283"/>
      <c r="L18" s="1401"/>
      <c r="M18" s="1401"/>
      <c r="N18" s="1401"/>
      <c r="O18" s="1401"/>
      <c r="P18" s="1401"/>
      <c r="Q18" s="1401"/>
      <c r="R18" s="1401"/>
      <c r="S18" s="1401"/>
      <c r="T18" s="1422" t="s">
        <v>1854</v>
      </c>
    </row>
    <row r="19" spans="1:20" x14ac:dyDescent="0.4">
      <c r="B19" s="1401"/>
      <c r="C19" s="1401"/>
      <c r="D19" s="1401"/>
      <c r="E19" s="1401"/>
      <c r="F19" s="1401"/>
      <c r="G19" s="1401"/>
      <c r="H19" s="1401"/>
      <c r="I19" s="1401"/>
      <c r="J19" s="1401"/>
      <c r="K19" s="1401"/>
      <c r="L19" s="1401"/>
      <c r="M19" s="1401"/>
      <c r="N19" s="1401"/>
      <c r="O19" s="1401"/>
      <c r="P19" s="1401"/>
      <c r="Q19" s="1401"/>
      <c r="R19" s="1401"/>
      <c r="S19" s="1401"/>
    </row>
    <row r="20" spans="1:20" x14ac:dyDescent="0.4">
      <c r="B20" s="1401"/>
      <c r="C20" s="1401"/>
      <c r="D20" s="1401"/>
      <c r="E20" s="1401"/>
      <c r="F20" s="1401"/>
      <c r="G20" s="1401"/>
      <c r="H20" s="1401"/>
      <c r="I20" s="1401"/>
      <c r="J20" s="1401"/>
      <c r="K20" s="1401"/>
      <c r="L20" s="1401"/>
      <c r="M20" s="1401"/>
      <c r="N20" s="1401"/>
      <c r="O20" s="1401"/>
      <c r="P20" s="1401"/>
      <c r="Q20" s="1401"/>
      <c r="R20" s="1401"/>
      <c r="S20" s="1401"/>
    </row>
    <row r="21" spans="1:20" x14ac:dyDescent="0.4">
      <c r="B21" s="1401"/>
      <c r="C21" s="1401"/>
      <c r="D21" s="1401"/>
      <c r="E21" s="1401"/>
      <c r="F21" s="1401"/>
      <c r="G21" s="1401"/>
      <c r="H21" s="1401"/>
      <c r="I21" s="1401"/>
      <c r="J21" s="1401"/>
      <c r="K21" s="1401"/>
      <c r="L21" s="1401"/>
      <c r="M21" s="1401"/>
      <c r="N21" s="1401"/>
      <c r="O21" s="1401"/>
      <c r="P21" s="1401"/>
      <c r="Q21" s="1401"/>
      <c r="R21" s="1401"/>
      <c r="S21" s="1401"/>
    </row>
    <row r="22" spans="1:20" x14ac:dyDescent="0.4">
      <c r="B22" s="1401"/>
      <c r="C22" s="1401"/>
      <c r="D22" s="1401"/>
      <c r="E22" s="1401"/>
      <c r="F22" s="1401"/>
      <c r="G22" s="1401"/>
      <c r="H22" s="1401"/>
      <c r="I22" s="1401"/>
      <c r="J22" s="1401"/>
      <c r="K22" s="1401"/>
      <c r="L22" s="1401"/>
      <c r="M22" s="1401"/>
      <c r="N22" s="1401"/>
      <c r="O22" s="1401"/>
      <c r="P22" s="1401"/>
      <c r="Q22" s="1401"/>
      <c r="R22" s="1401"/>
      <c r="S22" s="1401"/>
    </row>
    <row r="23" spans="1:20" x14ac:dyDescent="0.4">
      <c r="B23" s="1401"/>
      <c r="C23" s="1401"/>
      <c r="D23" s="1401"/>
      <c r="E23" s="1401"/>
      <c r="F23" s="1401"/>
      <c r="G23" s="1401"/>
      <c r="H23" s="1401"/>
      <c r="I23" s="1401"/>
      <c r="J23" s="1401"/>
      <c r="K23" s="1401"/>
      <c r="L23" s="1401"/>
      <c r="M23" s="1401"/>
      <c r="N23" s="1401"/>
      <c r="O23" s="1401"/>
      <c r="P23" s="1401"/>
      <c r="Q23" s="1401"/>
      <c r="R23" s="1401"/>
      <c r="S23" s="1401"/>
    </row>
    <row r="24" spans="1:20" x14ac:dyDescent="0.4">
      <c r="B24" s="1401"/>
      <c r="C24" s="1401"/>
      <c r="D24" s="1401"/>
      <c r="E24" s="1401"/>
      <c r="F24" s="1401"/>
      <c r="G24" s="1401"/>
      <c r="H24" s="1401"/>
      <c r="I24" s="1401"/>
      <c r="J24" s="1401"/>
      <c r="K24" s="1401"/>
      <c r="L24" s="1401"/>
      <c r="M24" s="1401"/>
      <c r="N24" s="1401"/>
      <c r="O24" s="1401"/>
      <c r="P24" s="1401"/>
      <c r="Q24" s="1401"/>
      <c r="R24" s="1401"/>
      <c r="S24" s="1401"/>
    </row>
    <row r="25" spans="1:20" x14ac:dyDescent="0.4">
      <c r="B25" s="1401"/>
      <c r="C25" s="1401"/>
      <c r="D25" s="1401"/>
      <c r="E25" s="1401"/>
      <c r="F25" s="1401"/>
      <c r="G25" s="1401"/>
      <c r="H25" s="1401"/>
      <c r="I25" s="1401"/>
      <c r="J25" s="1401"/>
      <c r="K25" s="1401"/>
      <c r="L25" s="1401"/>
      <c r="M25" s="1401"/>
      <c r="N25" s="1401"/>
      <c r="O25" s="1401"/>
      <c r="P25" s="1401"/>
      <c r="Q25" s="1401"/>
      <c r="R25" s="1401"/>
      <c r="S25" s="1401"/>
    </row>
    <row r="26" spans="1:20" x14ac:dyDescent="0.4">
      <c r="B26" s="1401"/>
      <c r="C26" s="1401"/>
      <c r="D26" s="1401"/>
      <c r="E26" s="1401"/>
      <c r="F26" s="1401"/>
      <c r="G26" s="1401"/>
      <c r="H26" s="1401"/>
      <c r="I26" s="1401"/>
      <c r="J26" s="1401"/>
      <c r="K26" s="1401"/>
      <c r="L26" s="1401"/>
      <c r="M26" s="1401"/>
      <c r="N26" s="1401"/>
      <c r="O26" s="1401"/>
      <c r="P26" s="1401"/>
      <c r="Q26" s="1401"/>
      <c r="R26" s="1401"/>
      <c r="S26" s="1401"/>
    </row>
    <row r="27" spans="1:20" x14ac:dyDescent="0.4">
      <c r="B27" s="1401"/>
      <c r="C27" s="1401"/>
      <c r="D27" s="1401"/>
      <c r="E27" s="1401"/>
      <c r="F27" s="1401"/>
      <c r="G27" s="1401"/>
      <c r="H27" s="1401"/>
      <c r="I27" s="1401"/>
      <c r="J27" s="1401"/>
      <c r="K27" s="1401"/>
      <c r="L27" s="1401"/>
      <c r="M27" s="1401"/>
      <c r="N27" s="1401"/>
      <c r="O27" s="1401"/>
      <c r="P27" s="1401"/>
      <c r="Q27" s="1401"/>
      <c r="R27" s="1401"/>
      <c r="S27" s="1401"/>
    </row>
    <row r="28" spans="1:20" x14ac:dyDescent="0.4">
      <c r="B28" s="1401"/>
      <c r="C28" s="1401"/>
      <c r="D28" s="1401"/>
      <c r="E28" s="1401"/>
      <c r="F28" s="1401"/>
      <c r="G28" s="1401"/>
      <c r="H28" s="1401"/>
      <c r="I28" s="1401"/>
      <c r="J28" s="1401"/>
      <c r="K28" s="1401"/>
      <c r="L28" s="1401"/>
      <c r="M28" s="1401"/>
      <c r="N28" s="1401"/>
      <c r="O28" s="1401"/>
      <c r="P28" s="1401"/>
      <c r="Q28" s="1401"/>
      <c r="R28" s="1401"/>
      <c r="S28" s="1401"/>
    </row>
    <row r="29" spans="1:20" x14ac:dyDescent="0.4">
      <c r="B29" s="1401"/>
      <c r="C29" s="1401"/>
      <c r="D29" s="1401"/>
      <c r="E29" s="1401"/>
      <c r="F29" s="1401"/>
      <c r="G29" s="1401"/>
      <c r="H29" s="1401"/>
      <c r="I29" s="1401"/>
      <c r="J29" s="1401"/>
      <c r="K29" s="1401"/>
      <c r="L29" s="1401"/>
      <c r="M29" s="1401"/>
      <c r="N29" s="1401"/>
      <c r="O29" s="1401"/>
      <c r="P29" s="1401"/>
      <c r="Q29" s="1401"/>
      <c r="R29" s="1401"/>
      <c r="S29" s="1401"/>
    </row>
    <row r="30" spans="1:20" x14ac:dyDescent="0.4">
      <c r="B30" s="1401"/>
      <c r="C30" s="1401"/>
      <c r="D30" s="1401"/>
      <c r="E30" s="1401"/>
      <c r="F30" s="1401"/>
      <c r="G30" s="1401"/>
      <c r="H30" s="1401"/>
      <c r="I30" s="1401"/>
      <c r="J30" s="1401"/>
      <c r="K30" s="1401"/>
      <c r="L30" s="1401"/>
      <c r="M30" s="1401"/>
      <c r="N30" s="1401"/>
      <c r="O30" s="1401"/>
      <c r="P30" s="1401"/>
      <c r="Q30" s="1401"/>
      <c r="R30" s="1401"/>
      <c r="S30" s="1401"/>
    </row>
  </sheetData>
  <mergeCells count="2">
    <mergeCell ref="A1:R1"/>
    <mergeCell ref="A16:E16"/>
  </mergeCells>
  <printOptions horizontalCentered="1" verticalCentered="1"/>
  <pageMargins left="0" right="0" top="0.98425196850393704" bottom="0.98425196850393704" header="0" footer="0"/>
  <pageSetup paperSize="9" scale="60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FF0000"/>
  </sheetPr>
  <dimension ref="A1:AE46"/>
  <sheetViews>
    <sheetView rightToLeft="1" topLeftCell="A4" zoomScaleNormal="100" workbookViewId="0">
      <selection activeCell="I15" sqref="I15"/>
    </sheetView>
  </sheetViews>
  <sheetFormatPr defaultColWidth="7" defaultRowHeight="15.75" x14ac:dyDescent="0.4"/>
  <cols>
    <col min="1" max="1" width="17.125" style="1386" customWidth="1"/>
    <col min="2" max="2" width="16.375" style="1386" customWidth="1"/>
    <col min="3" max="3" width="16.125" style="1386" customWidth="1"/>
    <col min="4" max="4" width="0.25" style="1386" hidden="1" customWidth="1"/>
    <col min="5" max="5" width="17.625" style="1386" customWidth="1"/>
    <col min="6" max="7" width="7" style="1386"/>
    <col min="8" max="8" width="7.625" style="1386" bestFit="1" customWidth="1"/>
    <col min="9" max="9" width="7.875" style="1386" bestFit="1" customWidth="1"/>
    <col min="10" max="10" width="7" style="1386"/>
    <col min="11" max="11" width="7" style="1386" customWidth="1"/>
    <col min="12" max="12" width="9.625" style="1386" customWidth="1"/>
    <col min="13" max="15" width="7" style="1386"/>
    <col min="16" max="16" width="9.75" style="1386" customWidth="1"/>
    <col min="17" max="17" width="11.75" style="1386" customWidth="1"/>
    <col min="18" max="19" width="7" style="1386"/>
    <col min="20" max="20" width="11.25" style="1386" customWidth="1"/>
    <col min="21" max="16384" width="7" style="1386"/>
  </cols>
  <sheetData>
    <row r="1" spans="15:31" ht="20.25" customHeight="1" x14ac:dyDescent="0.4"/>
    <row r="2" spans="15:31" ht="20.25" customHeight="1" x14ac:dyDescent="0.4"/>
    <row r="3" spans="15:31" ht="20.25" customHeight="1" x14ac:dyDescent="0.4"/>
    <row r="4" spans="15:31" ht="20.25" customHeight="1" x14ac:dyDescent="0.4"/>
    <row r="5" spans="15:31" ht="20.25" customHeight="1" x14ac:dyDescent="0.4"/>
    <row r="6" spans="15:31" ht="20.25" customHeight="1" x14ac:dyDescent="0.4"/>
    <row r="7" spans="15:31" ht="20.25" customHeight="1" x14ac:dyDescent="0.4"/>
    <row r="8" spans="15:31" ht="20.25" customHeight="1" x14ac:dyDescent="0.4"/>
    <row r="9" spans="15:31" ht="20.25" customHeight="1" x14ac:dyDescent="0.4"/>
    <row r="10" spans="15:31" ht="20.25" customHeight="1" x14ac:dyDescent="0.4"/>
    <row r="11" spans="15:31" ht="20.25" customHeight="1" x14ac:dyDescent="0.4"/>
    <row r="12" spans="15:31" ht="20.25" customHeight="1" x14ac:dyDescent="0.4">
      <c r="O12" s="1386">
        <v>64130899</v>
      </c>
      <c r="P12" s="1386">
        <v>148343793</v>
      </c>
      <c r="Q12" s="1386">
        <v>48009342</v>
      </c>
      <c r="R12" s="1386">
        <v>254646775</v>
      </c>
      <c r="S12" s="1386">
        <v>98824777</v>
      </c>
      <c r="T12" s="1386">
        <v>1672867976</v>
      </c>
      <c r="U12" s="1386">
        <v>28921490760</v>
      </c>
      <c r="V12" s="1386">
        <v>566896334</v>
      </c>
      <c r="W12" s="1386">
        <v>3458263359</v>
      </c>
      <c r="X12" s="1386">
        <v>7178742</v>
      </c>
      <c r="Y12" s="1386">
        <v>93333178</v>
      </c>
      <c r="Z12" s="1386">
        <v>1211667093</v>
      </c>
      <c r="AA12" s="1386">
        <v>347476994</v>
      </c>
      <c r="AB12" s="1386">
        <v>970803515</v>
      </c>
      <c r="AC12" s="1386">
        <v>62280758</v>
      </c>
      <c r="AD12" s="1386">
        <v>115864669</v>
      </c>
      <c r="AE12" s="1386">
        <v>59536729</v>
      </c>
    </row>
    <row r="13" spans="15:31" ht="20.25" customHeight="1" x14ac:dyDescent="0.4"/>
    <row r="14" spans="15:31" ht="20.25" customHeight="1" x14ac:dyDescent="0.4"/>
    <row r="15" spans="15:31" ht="20.25" customHeight="1" x14ac:dyDescent="0.4"/>
    <row r="17" spans="1:21" ht="1.5" customHeight="1" x14ac:dyDescent="0.4">
      <c r="A17" s="1462"/>
      <c r="B17" s="1462"/>
      <c r="C17" s="1462"/>
      <c r="D17" s="1462"/>
      <c r="E17" s="1462"/>
    </row>
    <row r="18" spans="1:21" ht="22.5" customHeight="1" x14ac:dyDescent="0.4">
      <c r="A18" s="3339" t="s">
        <v>1934</v>
      </c>
      <c r="B18" s="3339"/>
      <c r="C18" s="3339"/>
      <c r="D18" s="3339"/>
      <c r="E18" s="3339"/>
    </row>
    <row r="19" spans="1:21" ht="16.5" thickBot="1" x14ac:dyDescent="0.45">
      <c r="A19" s="3340" t="s">
        <v>816</v>
      </c>
      <c r="B19" s="3340"/>
      <c r="C19" s="3340"/>
      <c r="D19" s="3340"/>
      <c r="E19" s="3340"/>
    </row>
    <row r="20" spans="1:21" ht="18.75" customHeight="1" thickBot="1" x14ac:dyDescent="0.45">
      <c r="A20" s="3341" t="s">
        <v>118</v>
      </c>
      <c r="B20" s="3343" t="s">
        <v>38</v>
      </c>
      <c r="C20" s="3344"/>
      <c r="D20" s="3345" t="s">
        <v>442</v>
      </c>
      <c r="E20" s="3347" t="s">
        <v>406</v>
      </c>
      <c r="L20" s="2111" t="s">
        <v>1933</v>
      </c>
      <c r="P20" s="2115" t="s">
        <v>107</v>
      </c>
      <c r="Q20" s="2114">
        <v>9156448751147</v>
      </c>
      <c r="T20" s="1389">
        <v>64130899</v>
      </c>
      <c r="U20" s="2122" t="s">
        <v>198</v>
      </c>
    </row>
    <row r="21" spans="1:21" ht="18.75" customHeight="1" thickBot="1" x14ac:dyDescent="0.45">
      <c r="A21" s="3342"/>
      <c r="B21" s="2121">
        <v>1402</v>
      </c>
      <c r="C21" s="2121">
        <v>1403</v>
      </c>
      <c r="D21" s="3346"/>
      <c r="E21" s="3348"/>
      <c r="K21" s="2120" t="s">
        <v>107</v>
      </c>
      <c r="L21" s="2103">
        <v>6806416.9666689988</v>
      </c>
      <c r="P21" s="2115" t="s">
        <v>112</v>
      </c>
      <c r="Q21" s="2114">
        <v>296594088577</v>
      </c>
      <c r="T21" s="1389">
        <v>148343793</v>
      </c>
      <c r="U21" s="2122" t="s">
        <v>102</v>
      </c>
    </row>
    <row r="22" spans="1:21" ht="12.75" customHeight="1" thickBot="1" x14ac:dyDescent="0.45">
      <c r="A22" s="2110" t="s">
        <v>109</v>
      </c>
      <c r="B22" s="2108">
        <v>0</v>
      </c>
      <c r="C22" s="2108">
        <f>+'[6]90'!U17</f>
        <v>0</v>
      </c>
      <c r="D22" s="2107">
        <f t="shared" ref="D22:D43" si="0">C22-B22</f>
        <v>0</v>
      </c>
      <c r="E22" s="2119" t="s">
        <v>25</v>
      </c>
      <c r="G22" s="1389"/>
      <c r="H22" s="2105">
        <f t="shared" ref="H22:H41" si="1">+Q20/1000000</f>
        <v>9156448.7511470001</v>
      </c>
      <c r="I22" s="2103" t="s">
        <v>107</v>
      </c>
      <c r="K22" s="2112" t="s">
        <v>112</v>
      </c>
      <c r="L22" s="2103">
        <v>183793.54417500002</v>
      </c>
      <c r="P22" s="2115" t="s">
        <v>198</v>
      </c>
      <c r="Q22" s="2114">
        <v>2175588400167</v>
      </c>
      <c r="T22" s="1389">
        <v>48009342</v>
      </c>
      <c r="U22" s="2122" t="s">
        <v>199</v>
      </c>
    </row>
    <row r="23" spans="1:21" ht="12.75" customHeight="1" thickBot="1" x14ac:dyDescent="0.45">
      <c r="A23" s="2110" t="s">
        <v>106</v>
      </c>
      <c r="B23" s="2108">
        <v>1264504.8681000001</v>
      </c>
      <c r="C23" s="2108"/>
      <c r="D23" s="2107">
        <f t="shared" si="0"/>
        <v>-1264504.8681000001</v>
      </c>
      <c r="E23" s="2106">
        <f t="shared" ref="E23:E43" si="2">D23/B23</f>
        <v>-1</v>
      </c>
      <c r="G23" s="1389"/>
      <c r="H23" s="2105">
        <f t="shared" si="1"/>
        <v>296594.08857700002</v>
      </c>
      <c r="I23" s="2103" t="s">
        <v>112</v>
      </c>
      <c r="K23" s="2112" t="s">
        <v>198</v>
      </c>
      <c r="L23" s="2103">
        <v>1645223.6348500003</v>
      </c>
      <c r="P23" s="2115" t="s">
        <v>102</v>
      </c>
      <c r="Q23" s="2114">
        <v>3177011749653</v>
      </c>
      <c r="T23" s="1389">
        <v>254646775</v>
      </c>
      <c r="U23" s="2122" t="s">
        <v>113</v>
      </c>
    </row>
    <row r="24" spans="1:21" ht="12.75" customHeight="1" thickBot="1" x14ac:dyDescent="0.45">
      <c r="A24" s="2110" t="s">
        <v>96</v>
      </c>
      <c r="B24" s="2108">
        <v>17421418.327266999</v>
      </c>
      <c r="C24" s="2108"/>
      <c r="D24" s="2107">
        <f t="shared" si="0"/>
        <v>-17421418.327266999</v>
      </c>
      <c r="E24" s="2106">
        <f t="shared" si="2"/>
        <v>-1</v>
      </c>
      <c r="G24" s="1389"/>
      <c r="H24" s="2105">
        <f t="shared" si="1"/>
        <v>2175588.400167</v>
      </c>
      <c r="I24" s="2103" t="s">
        <v>198</v>
      </c>
      <c r="K24" s="2112" t="s">
        <v>102</v>
      </c>
      <c r="L24" s="2103">
        <v>2474021.3699330003</v>
      </c>
      <c r="P24" s="2115" t="s">
        <v>199</v>
      </c>
      <c r="Q24" s="2114">
        <v>810766573618</v>
      </c>
      <c r="T24" s="1389">
        <v>98824777</v>
      </c>
      <c r="U24" s="2122" t="s">
        <v>589</v>
      </c>
    </row>
    <row r="25" spans="1:21" ht="12.75" customHeight="1" thickBot="1" x14ac:dyDescent="0.45">
      <c r="A25" s="2110" t="s">
        <v>212</v>
      </c>
      <c r="B25" s="2118">
        <v>2404849.4149219999</v>
      </c>
      <c r="C25" s="2117"/>
      <c r="D25" s="2107">
        <f t="shared" si="0"/>
        <v>-2404849.4149219999</v>
      </c>
      <c r="E25" s="2106">
        <f t="shared" si="2"/>
        <v>-1</v>
      </c>
      <c r="G25" s="1389"/>
      <c r="H25" s="2105">
        <f t="shared" si="1"/>
        <v>3177011.7496529999</v>
      </c>
      <c r="I25" s="2103" t="s">
        <v>102</v>
      </c>
      <c r="K25" s="2112" t="s">
        <v>199</v>
      </c>
      <c r="L25" s="2103">
        <v>775927.55633200007</v>
      </c>
      <c r="P25" s="2115" t="s">
        <v>113</v>
      </c>
      <c r="Q25" s="2114">
        <v>878833087799</v>
      </c>
      <c r="T25" s="1389">
        <v>1672867976</v>
      </c>
      <c r="U25" s="2122" t="s">
        <v>114</v>
      </c>
    </row>
    <row r="26" spans="1:21" ht="12.75" customHeight="1" thickBot="1" x14ac:dyDescent="0.45">
      <c r="A26" s="2110" t="s">
        <v>113</v>
      </c>
      <c r="B26" s="2108">
        <v>878833.08779899997</v>
      </c>
      <c r="C26" s="2116"/>
      <c r="D26" s="2107">
        <f t="shared" si="0"/>
        <v>-878833.08779899997</v>
      </c>
      <c r="E26" s="2106">
        <f t="shared" si="2"/>
        <v>-1</v>
      </c>
      <c r="G26" s="1389"/>
      <c r="H26" s="2105">
        <f t="shared" si="1"/>
        <v>810766.57361800002</v>
      </c>
      <c r="I26" s="2103" t="s">
        <v>199</v>
      </c>
      <c r="K26" s="2112" t="s">
        <v>113</v>
      </c>
      <c r="L26" s="2103">
        <v>681430.66754599987</v>
      </c>
      <c r="P26" s="2115" t="s">
        <v>589</v>
      </c>
      <c r="Q26" s="2114">
        <v>924165802371</v>
      </c>
      <c r="T26" s="1389">
        <v>28921490760</v>
      </c>
      <c r="U26" s="2122" t="s">
        <v>99</v>
      </c>
    </row>
    <row r="27" spans="1:21" ht="12.75" customHeight="1" thickBot="1" x14ac:dyDescent="0.45">
      <c r="A27" s="2110" t="s">
        <v>199</v>
      </c>
      <c r="B27" s="2108">
        <v>810766.57361800002</v>
      </c>
      <c r="C27" s="2108"/>
      <c r="D27" s="2107">
        <f t="shared" si="0"/>
        <v>-810766.57361800002</v>
      </c>
      <c r="E27" s="2106">
        <f t="shared" si="2"/>
        <v>-1</v>
      </c>
      <c r="G27" s="1389"/>
      <c r="H27" s="2105">
        <f t="shared" si="1"/>
        <v>878833.08779899997</v>
      </c>
      <c r="I27" s="2103" t="s">
        <v>588</v>
      </c>
      <c r="K27" s="2112" t="s">
        <v>589</v>
      </c>
      <c r="L27" s="2103">
        <v>674137.31500099984</v>
      </c>
      <c r="P27" s="2115" t="s">
        <v>590</v>
      </c>
      <c r="Q27" s="2114">
        <v>1117649027481</v>
      </c>
      <c r="T27" s="1389">
        <v>566896334</v>
      </c>
      <c r="U27" s="2122" t="s">
        <v>110</v>
      </c>
    </row>
    <row r="28" spans="1:21" ht="12.75" customHeight="1" thickBot="1" x14ac:dyDescent="0.45">
      <c r="A28" s="2110" t="s">
        <v>97</v>
      </c>
      <c r="B28" s="2108">
        <v>16366391.106644999</v>
      </c>
      <c r="C28" s="2108"/>
      <c r="D28" s="2107">
        <f t="shared" si="0"/>
        <v>-16366391.106644999</v>
      </c>
      <c r="E28" s="2106">
        <f t="shared" si="2"/>
        <v>-1</v>
      </c>
      <c r="G28" s="1389"/>
      <c r="H28" s="2105">
        <f t="shared" si="1"/>
        <v>924165.80237100006</v>
      </c>
      <c r="I28" s="2103" t="s">
        <v>589</v>
      </c>
      <c r="K28" s="2112" t="s">
        <v>590</v>
      </c>
      <c r="L28" s="2103">
        <v>671710.39728899999</v>
      </c>
      <c r="P28" s="2115" t="s">
        <v>99</v>
      </c>
      <c r="Q28" s="2114">
        <v>13234940991513</v>
      </c>
      <c r="T28" s="1389">
        <v>3458263359</v>
      </c>
      <c r="U28" s="2122" t="s">
        <v>201</v>
      </c>
    </row>
    <row r="29" spans="1:21" ht="12.75" customHeight="1" thickBot="1" x14ac:dyDescent="0.45">
      <c r="A29" s="2110" t="s">
        <v>108</v>
      </c>
      <c r="B29" s="2108">
        <v>515762.57850200002</v>
      </c>
      <c r="C29" s="2108"/>
      <c r="D29" s="2107">
        <f t="shared" si="0"/>
        <v>-515762.57850200002</v>
      </c>
      <c r="E29" s="2106">
        <f t="shared" si="2"/>
        <v>-1</v>
      </c>
      <c r="G29" s="1389"/>
      <c r="H29" s="2105">
        <f t="shared" si="1"/>
        <v>1117649.0274809999</v>
      </c>
      <c r="I29" s="2105" t="s">
        <v>590</v>
      </c>
      <c r="K29" s="2112" t="s">
        <v>99</v>
      </c>
      <c r="L29" s="2103">
        <v>8880627.8508739993</v>
      </c>
      <c r="P29" s="2115" t="s">
        <v>110</v>
      </c>
      <c r="Q29" s="2114">
        <v>528740938580</v>
      </c>
      <c r="T29" s="1389">
        <v>7178742</v>
      </c>
      <c r="U29" s="2122" t="s">
        <v>97</v>
      </c>
    </row>
    <row r="30" spans="1:21" ht="12.75" customHeight="1" thickBot="1" x14ac:dyDescent="0.45">
      <c r="A30" s="2110" t="s">
        <v>101</v>
      </c>
      <c r="B30" s="2108">
        <v>17633630.872515999</v>
      </c>
      <c r="C30" s="2108"/>
      <c r="D30" s="2107">
        <f t="shared" si="0"/>
        <v>-17633630.872515999</v>
      </c>
      <c r="E30" s="2106">
        <f t="shared" si="2"/>
        <v>-1</v>
      </c>
      <c r="G30" s="1389"/>
      <c r="H30" s="2105">
        <f t="shared" si="1"/>
        <v>13234940.991513001</v>
      </c>
      <c r="I30" s="2105" t="s">
        <v>99</v>
      </c>
      <c r="K30" s="2112" t="s">
        <v>110</v>
      </c>
      <c r="L30" s="2103">
        <v>590184.39054699999</v>
      </c>
      <c r="P30" s="2115" t="s">
        <v>201</v>
      </c>
      <c r="Q30" s="2114">
        <v>3709907653410</v>
      </c>
      <c r="T30" s="1389">
        <v>93333178</v>
      </c>
      <c r="U30" s="2122" t="s">
        <v>106</v>
      </c>
    </row>
    <row r="31" spans="1:21" ht="12.75" customHeight="1" thickBot="1" x14ac:dyDescent="0.45">
      <c r="A31" s="2110" t="s">
        <v>95</v>
      </c>
      <c r="B31" s="2108">
        <v>15875500.370044</v>
      </c>
      <c r="C31" s="2108"/>
      <c r="D31" s="2107">
        <f t="shared" si="0"/>
        <v>-15875500.370044</v>
      </c>
      <c r="E31" s="2106">
        <f t="shared" si="2"/>
        <v>-1</v>
      </c>
      <c r="G31" s="1389"/>
      <c r="H31" s="2105">
        <f t="shared" si="1"/>
        <v>528740.93857999996</v>
      </c>
      <c r="I31" s="2105" t="s">
        <v>110</v>
      </c>
      <c r="K31" s="2112" t="s">
        <v>201</v>
      </c>
      <c r="L31" s="2103">
        <v>3352209.344943</v>
      </c>
      <c r="P31" s="2115" t="s">
        <v>97</v>
      </c>
      <c r="Q31" s="2114">
        <v>16366391106645</v>
      </c>
      <c r="T31" s="1389">
        <v>1211667093</v>
      </c>
      <c r="U31" s="2122" t="s">
        <v>101</v>
      </c>
    </row>
    <row r="32" spans="1:21" ht="12.75" customHeight="1" thickBot="1" x14ac:dyDescent="0.45">
      <c r="A32" s="2110" t="s">
        <v>198</v>
      </c>
      <c r="B32" s="2108">
        <v>2175588.400167</v>
      </c>
      <c r="C32" s="2108"/>
      <c r="D32" s="2107">
        <f t="shared" si="0"/>
        <v>-2175588.400167</v>
      </c>
      <c r="E32" s="2106">
        <f t="shared" si="2"/>
        <v>-1</v>
      </c>
      <c r="G32" s="1389"/>
      <c r="H32" s="2105">
        <f t="shared" si="1"/>
        <v>3709907.6534099998</v>
      </c>
      <c r="I32" s="2103" t="s">
        <v>201</v>
      </c>
      <c r="K32" s="2112" t="s">
        <v>97</v>
      </c>
      <c r="L32" s="2103">
        <v>13383086.723082997</v>
      </c>
      <c r="P32" s="2115" t="s">
        <v>95</v>
      </c>
      <c r="Q32" s="2114">
        <v>15875500370044</v>
      </c>
      <c r="T32" s="1389">
        <v>347476994</v>
      </c>
      <c r="U32" s="2122" t="s">
        <v>212</v>
      </c>
    </row>
    <row r="33" spans="1:21" ht="12.75" customHeight="1" thickBot="1" x14ac:dyDescent="0.45">
      <c r="A33" s="2110" t="s">
        <v>201</v>
      </c>
      <c r="B33" s="2108">
        <v>3709907.6534099998</v>
      </c>
      <c r="C33" s="2108"/>
      <c r="D33" s="2107">
        <f t="shared" si="0"/>
        <v>-3709907.6534099998</v>
      </c>
      <c r="E33" s="2106">
        <f t="shared" si="2"/>
        <v>-1</v>
      </c>
      <c r="G33" s="1389"/>
      <c r="H33" s="2105">
        <f t="shared" si="1"/>
        <v>16366391.106644999</v>
      </c>
      <c r="I33" s="2103" t="s">
        <v>97</v>
      </c>
      <c r="K33" s="2112" t="s">
        <v>95</v>
      </c>
      <c r="L33" s="2103">
        <v>11668626.029998001</v>
      </c>
      <c r="P33" s="2115" t="s">
        <v>101</v>
      </c>
      <c r="Q33" s="2114">
        <v>17633630872516</v>
      </c>
      <c r="T33" s="1389">
        <v>970803515</v>
      </c>
      <c r="U33" s="2122" t="s">
        <v>96</v>
      </c>
    </row>
    <row r="34" spans="1:21" ht="12.75" customHeight="1" thickBot="1" x14ac:dyDescent="0.45">
      <c r="A34" s="2110" t="s">
        <v>111</v>
      </c>
      <c r="B34" s="2108">
        <v>197053.69775699999</v>
      </c>
      <c r="C34" s="2108"/>
      <c r="D34" s="2107">
        <f t="shared" si="0"/>
        <v>-197053.69775699999</v>
      </c>
      <c r="E34" s="2106">
        <f t="shared" si="2"/>
        <v>-1</v>
      </c>
      <c r="G34" s="1389"/>
      <c r="H34" s="2105">
        <f t="shared" si="1"/>
        <v>15875500.370044</v>
      </c>
      <c r="I34" s="2103" t="s">
        <v>95</v>
      </c>
      <c r="K34" s="2112" t="s">
        <v>106</v>
      </c>
      <c r="L34" s="2103">
        <v>894125.61668500002</v>
      </c>
      <c r="P34" s="2115" t="s">
        <v>106</v>
      </c>
      <c r="Q34" s="2114">
        <v>1264504868100</v>
      </c>
      <c r="T34" s="1389">
        <v>62280758</v>
      </c>
      <c r="U34" s="2122" t="s">
        <v>202</v>
      </c>
    </row>
    <row r="35" spans="1:21" ht="12.75" customHeight="1" thickBot="1" x14ac:dyDescent="0.45">
      <c r="A35" s="2110" t="s">
        <v>112</v>
      </c>
      <c r="B35" s="2108">
        <v>296594.08857700002</v>
      </c>
      <c r="C35" s="2108"/>
      <c r="D35" s="2107">
        <f t="shared" si="0"/>
        <v>-296594.08857700002</v>
      </c>
      <c r="E35" s="2106">
        <f t="shared" si="2"/>
        <v>-1</v>
      </c>
      <c r="H35" s="2105">
        <f t="shared" si="1"/>
        <v>17633630.872515999</v>
      </c>
      <c r="I35" s="2103" t="s">
        <v>101</v>
      </c>
      <c r="K35" s="2112" t="s">
        <v>212</v>
      </c>
      <c r="L35" s="2103">
        <v>1332446.4524390001</v>
      </c>
      <c r="P35" s="2115" t="s">
        <v>105</v>
      </c>
      <c r="Q35" s="2114">
        <v>2404849414922</v>
      </c>
      <c r="T35" s="1389">
        <v>115864669</v>
      </c>
      <c r="U35" s="2122" t="s">
        <v>104</v>
      </c>
    </row>
    <row r="36" spans="1:21" ht="12.75" customHeight="1" thickBot="1" x14ac:dyDescent="0.45">
      <c r="A36" s="2110" t="s">
        <v>589</v>
      </c>
      <c r="B36" s="2108">
        <v>924165.80237100006</v>
      </c>
      <c r="C36" s="2108"/>
      <c r="D36" s="2107">
        <f t="shared" si="0"/>
        <v>-924165.80237100006</v>
      </c>
      <c r="E36" s="2106">
        <f t="shared" si="2"/>
        <v>-1</v>
      </c>
      <c r="H36" s="2105">
        <f t="shared" si="1"/>
        <v>1264504.8681000001</v>
      </c>
      <c r="I36" s="2103" t="s">
        <v>106</v>
      </c>
      <c r="K36" s="2112" t="s">
        <v>101</v>
      </c>
      <c r="L36" s="2103">
        <v>14304637.402187999</v>
      </c>
      <c r="P36" s="2115" t="s">
        <v>96</v>
      </c>
      <c r="Q36" s="2114">
        <v>17421418327267</v>
      </c>
      <c r="T36" s="1389">
        <v>59536729</v>
      </c>
      <c r="U36" s="2122" t="s">
        <v>108</v>
      </c>
    </row>
    <row r="37" spans="1:21" ht="12.75" customHeight="1" thickBot="1" x14ac:dyDescent="0.45">
      <c r="A37" s="2110" t="s">
        <v>107</v>
      </c>
      <c r="B37" s="2108">
        <v>9156448.7511470001</v>
      </c>
      <c r="C37" s="2108"/>
      <c r="D37" s="2107">
        <f t="shared" si="0"/>
        <v>-9156448.7511470001</v>
      </c>
      <c r="E37" s="2106">
        <f t="shared" si="2"/>
        <v>-1</v>
      </c>
      <c r="H37" s="2105">
        <f t="shared" si="1"/>
        <v>2404849.4149219999</v>
      </c>
      <c r="I37" s="2103" t="s">
        <v>105</v>
      </c>
      <c r="K37" s="2112" t="s">
        <v>96</v>
      </c>
      <c r="L37" s="2103">
        <v>10190753.490099</v>
      </c>
      <c r="P37" s="2115" t="s">
        <v>111</v>
      </c>
      <c r="Q37" s="2114">
        <v>197053697757</v>
      </c>
    </row>
    <row r="38" spans="1:21" ht="12.75" customHeight="1" thickBot="1" x14ac:dyDescent="0.45">
      <c r="A38" s="2110" t="s">
        <v>102</v>
      </c>
      <c r="B38" s="2108">
        <v>3177011.7496529999</v>
      </c>
      <c r="C38" s="2108"/>
      <c r="D38" s="2107">
        <f t="shared" si="0"/>
        <v>-3177011.7496529999</v>
      </c>
      <c r="E38" s="2106">
        <f t="shared" si="2"/>
        <v>-1</v>
      </c>
      <c r="H38" s="2105">
        <f t="shared" si="1"/>
        <v>17421418.327266999</v>
      </c>
      <c r="I38" s="2103" t="s">
        <v>96</v>
      </c>
      <c r="K38" s="2112" t="s">
        <v>111</v>
      </c>
      <c r="L38" s="2103">
        <v>98750.097678999999</v>
      </c>
      <c r="P38" s="2115" t="s">
        <v>104</v>
      </c>
      <c r="Q38" s="2114">
        <v>322522046289</v>
      </c>
      <c r="T38" s="1389">
        <f>SUM(T20:T37)</f>
        <v>38101615693</v>
      </c>
    </row>
    <row r="39" spans="1:21" ht="12.75" customHeight="1" thickBot="1" x14ac:dyDescent="0.45">
      <c r="A39" s="2110" t="s">
        <v>104</v>
      </c>
      <c r="B39" s="2108">
        <v>322522.04628900002</v>
      </c>
      <c r="C39" s="2108"/>
      <c r="D39" s="2107">
        <f t="shared" si="0"/>
        <v>-322522.04628900002</v>
      </c>
      <c r="E39" s="2106">
        <f t="shared" si="2"/>
        <v>-1</v>
      </c>
      <c r="G39" s="1389"/>
      <c r="H39" s="2105">
        <f t="shared" si="1"/>
        <v>197053.69775699999</v>
      </c>
      <c r="I39" s="2103" t="s">
        <v>111</v>
      </c>
      <c r="K39" s="2112" t="s">
        <v>104</v>
      </c>
      <c r="L39" s="2103">
        <v>276445.40405099996</v>
      </c>
      <c r="P39" s="2115" t="s">
        <v>108</v>
      </c>
      <c r="Q39" s="2114">
        <v>515762578502</v>
      </c>
    </row>
    <row r="40" spans="1:21" ht="12.75" customHeight="1" x14ac:dyDescent="0.4">
      <c r="A40" s="2110" t="s">
        <v>110</v>
      </c>
      <c r="B40" s="2108">
        <v>528740.93857999996</v>
      </c>
      <c r="C40" s="2108"/>
      <c r="D40" s="2107">
        <f t="shared" si="0"/>
        <v>-528740.93857999996</v>
      </c>
      <c r="E40" s="2106">
        <f t="shared" si="2"/>
        <v>-1</v>
      </c>
      <c r="G40" s="1389"/>
      <c r="H40" s="2105">
        <f t="shared" si="1"/>
        <v>322522.04628900002</v>
      </c>
      <c r="I40" s="2103" t="s">
        <v>104</v>
      </c>
      <c r="K40" s="2112" t="s">
        <v>108</v>
      </c>
      <c r="L40" s="2103">
        <v>308264.09634799999</v>
      </c>
      <c r="Q40" s="2113">
        <f>SUM(Q20:Q39)</f>
        <v>108012280346358</v>
      </c>
    </row>
    <row r="41" spans="1:21" ht="12.75" customHeight="1" x14ac:dyDescent="0.4">
      <c r="A41" s="2110" t="s">
        <v>590</v>
      </c>
      <c r="B41" s="2108">
        <v>1117649.0274809999</v>
      </c>
      <c r="C41" s="2108"/>
      <c r="D41" s="2107">
        <f t="shared" si="0"/>
        <v>-1117649.0274809999</v>
      </c>
      <c r="E41" s="2106">
        <f t="shared" si="2"/>
        <v>-1</v>
      </c>
      <c r="G41" s="1389"/>
      <c r="H41" s="2105">
        <f t="shared" si="1"/>
        <v>515762.57850200002</v>
      </c>
      <c r="I41" s="2103" t="s">
        <v>108</v>
      </c>
      <c r="K41" s="2112" t="s">
        <v>109</v>
      </c>
      <c r="L41" s="2111">
        <v>0</v>
      </c>
    </row>
    <row r="42" spans="1:21" ht="12.75" customHeight="1" thickBot="1" x14ac:dyDescent="0.45">
      <c r="A42" s="2110" t="s">
        <v>99</v>
      </c>
      <c r="B42" s="2109">
        <v>13234940.991513001</v>
      </c>
      <c r="C42" s="2108"/>
      <c r="D42" s="2107">
        <f t="shared" si="0"/>
        <v>-13234940.991513001</v>
      </c>
      <c r="E42" s="2106">
        <f t="shared" si="2"/>
        <v>-1</v>
      </c>
      <c r="G42" s="1389"/>
      <c r="H42" s="2105">
        <f>SUM(H22:H41)</f>
        <v>108012280.34635803</v>
      </c>
      <c r="I42" s="2105"/>
      <c r="K42" s="2104"/>
      <c r="L42" s="2103">
        <v>79192818.350729004</v>
      </c>
    </row>
    <row r="43" spans="1:21" ht="19.5" thickBot="1" x14ac:dyDescent="0.45">
      <c r="A43" s="2102" t="s">
        <v>170</v>
      </c>
      <c r="B43" s="2101">
        <f>SUM(B22:B42)</f>
        <v>108012280.34635802</v>
      </c>
      <c r="C43" s="2100">
        <f>SUM(C22:C42)</f>
        <v>0</v>
      </c>
      <c r="D43" s="2099">
        <f t="shared" si="0"/>
        <v>-108012280.34635802</v>
      </c>
      <c r="E43" s="2098">
        <f t="shared" si="2"/>
        <v>-1</v>
      </c>
    </row>
    <row r="44" spans="1:21" ht="7.5" hidden="1" customHeight="1" x14ac:dyDescent="0.4">
      <c r="A44" s="2097"/>
      <c r="B44" s="2096"/>
      <c r="C44" s="2096"/>
      <c r="D44" s="2096"/>
      <c r="E44" s="2095"/>
    </row>
    <row r="45" spans="1:21" ht="54.75" customHeight="1" x14ac:dyDescent="0.4">
      <c r="A45" s="3349" t="s">
        <v>1932</v>
      </c>
      <c r="B45" s="3350"/>
      <c r="C45" s="3350"/>
      <c r="D45" s="3350"/>
      <c r="E45" s="3350"/>
    </row>
    <row r="46" spans="1:21" x14ac:dyDescent="0.4">
      <c r="A46" s="3338" t="s">
        <v>1931</v>
      </c>
      <c r="B46" s="3338"/>
      <c r="C46" s="3338"/>
      <c r="D46" s="3338"/>
      <c r="E46" s="3338"/>
    </row>
  </sheetData>
  <mergeCells count="8">
    <mergeCell ref="A46:E46"/>
    <mergeCell ref="A18:E18"/>
    <mergeCell ref="A19:E19"/>
    <mergeCell ref="A20:A21"/>
    <mergeCell ref="B20:C20"/>
    <mergeCell ref="D20:D21"/>
    <mergeCell ref="E20:E21"/>
    <mergeCell ref="A45:E45"/>
  </mergeCells>
  <printOptions horizontalCentered="1" verticalCentered="1"/>
  <pageMargins left="0.74803149606299213" right="0.74803149606299213" top="0.98425196850393704" bottom="0.98425196850393704" header="0" footer="0"/>
  <pageSetup paperSize="9" firstPageNumber="10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00B050"/>
  </sheetPr>
  <dimension ref="A1:J33"/>
  <sheetViews>
    <sheetView rightToLeft="1" zoomScale="80" zoomScaleNormal="80" workbookViewId="0">
      <selection activeCell="C6" sqref="C6"/>
    </sheetView>
  </sheetViews>
  <sheetFormatPr defaultColWidth="9" defaultRowHeight="21.75" x14ac:dyDescent="0.5"/>
  <cols>
    <col min="1" max="1" width="36.625" style="682" bestFit="1" customWidth="1"/>
    <col min="2" max="2" width="11.75" style="698" bestFit="1" customWidth="1"/>
    <col min="3" max="3" width="13.125" style="698" bestFit="1" customWidth="1"/>
    <col min="4" max="4" width="11.125" style="698" bestFit="1" customWidth="1"/>
    <col min="5" max="5" width="12.125" style="698" bestFit="1" customWidth="1"/>
    <col min="6" max="6" width="12.25" style="698" bestFit="1" customWidth="1"/>
    <col min="7" max="7" width="9" style="682"/>
    <col min="8" max="8" width="17.25" style="682" bestFit="1" customWidth="1"/>
    <col min="9" max="9" width="17.375" style="682" bestFit="1" customWidth="1"/>
    <col min="10" max="10" width="9.375" style="682" bestFit="1" customWidth="1"/>
    <col min="11" max="16384" width="9" style="682"/>
  </cols>
  <sheetData>
    <row r="1" spans="1:10" ht="24" customHeight="1" x14ac:dyDescent="0.5">
      <c r="A1" s="3351" t="s">
        <v>876</v>
      </c>
      <c r="B1" s="3351"/>
      <c r="C1" s="3351"/>
      <c r="D1" s="3351"/>
      <c r="E1" s="3351"/>
      <c r="F1" s="3351"/>
      <c r="G1" s="1386"/>
      <c r="H1" s="1428"/>
      <c r="I1" s="1386"/>
      <c r="J1" s="1386"/>
    </row>
    <row r="2" spans="1:10" ht="15" customHeight="1" thickBot="1" x14ac:dyDescent="0.55000000000000004">
      <c r="A2" s="3352" t="s">
        <v>186</v>
      </c>
      <c r="B2" s="3352"/>
      <c r="C2" s="3352"/>
      <c r="D2" s="3352"/>
      <c r="E2" s="3352"/>
      <c r="F2" s="3352"/>
      <c r="G2" s="1386"/>
      <c r="H2" s="1428"/>
      <c r="I2" s="1386"/>
      <c r="J2" s="1386"/>
    </row>
    <row r="3" spans="1:10" ht="106.5" customHeight="1" thickBot="1" x14ac:dyDescent="0.55000000000000004">
      <c r="A3" s="1729" t="s">
        <v>118</v>
      </c>
      <c r="B3" s="1730" t="s">
        <v>877</v>
      </c>
      <c r="C3" s="1731" t="s">
        <v>878</v>
      </c>
      <c r="D3" s="1731" t="s">
        <v>879</v>
      </c>
      <c r="E3" s="1732" t="s">
        <v>880</v>
      </c>
      <c r="F3" s="1729" t="s">
        <v>170</v>
      </c>
      <c r="G3" s="1386"/>
      <c r="H3" s="1429"/>
      <c r="I3" s="696"/>
      <c r="J3" s="696"/>
    </row>
    <row r="4" spans="1:10" ht="19.5" customHeight="1" x14ac:dyDescent="0.5">
      <c r="A4" s="1733" t="s">
        <v>881</v>
      </c>
      <c r="B4" s="1430">
        <v>904799.57894499996</v>
      </c>
      <c r="C4" s="2092" t="s">
        <v>25</v>
      </c>
      <c r="D4" s="1430">
        <v>298649.76196099998</v>
      </c>
      <c r="E4" s="1431">
        <v>361384.307891</v>
      </c>
      <c r="F4" s="1432">
        <f t="shared" ref="F4:F29" si="0">SUM(B4:E4)</f>
        <v>1564833.6487970001</v>
      </c>
      <c r="G4" s="1389"/>
      <c r="H4" s="696"/>
      <c r="I4" s="696"/>
      <c r="J4" s="696"/>
    </row>
    <row r="5" spans="1:10" ht="19.5" customHeight="1" x14ac:dyDescent="0.5">
      <c r="A5" s="1734" t="s">
        <v>882</v>
      </c>
      <c r="B5" s="1430">
        <v>84398.316777999993</v>
      </c>
      <c r="C5" s="2092" t="s">
        <v>25</v>
      </c>
      <c r="D5" s="1430">
        <v>26877.208164</v>
      </c>
      <c r="E5" s="1431">
        <v>284428.93096799997</v>
      </c>
      <c r="F5" s="1432">
        <f t="shared" si="0"/>
        <v>395704.45590999996</v>
      </c>
      <c r="G5" s="1389"/>
      <c r="H5" s="696"/>
      <c r="I5" s="696"/>
      <c r="J5" s="696"/>
    </row>
    <row r="6" spans="1:10" ht="19.5" customHeight="1" x14ac:dyDescent="0.5">
      <c r="A6" s="1734" t="s">
        <v>883</v>
      </c>
      <c r="B6" s="1430">
        <v>8830.66</v>
      </c>
      <c r="C6" s="2092" t="s">
        <v>25</v>
      </c>
      <c r="D6" s="1430">
        <v>49168.906779999998</v>
      </c>
      <c r="E6" s="1431">
        <v>23229.336619999998</v>
      </c>
      <c r="F6" s="1432">
        <f t="shared" si="0"/>
        <v>81228.903399999996</v>
      </c>
      <c r="G6" s="1389"/>
      <c r="H6" s="1433"/>
      <c r="I6" s="696"/>
      <c r="J6" s="696"/>
    </row>
    <row r="7" spans="1:10" ht="19.5" customHeight="1" x14ac:dyDescent="0.5">
      <c r="A7" s="1734" t="s">
        <v>884</v>
      </c>
      <c r="B7" s="1430">
        <v>63542.338025999998</v>
      </c>
      <c r="C7" s="2092" t="s">
        <v>25</v>
      </c>
      <c r="D7" s="1430">
        <v>32238.461987999999</v>
      </c>
      <c r="E7" s="1431">
        <v>845803.29355399997</v>
      </c>
      <c r="F7" s="1432">
        <f t="shared" si="0"/>
        <v>941584.09356800001</v>
      </c>
      <c r="G7" s="1389"/>
      <c r="H7" s="1433"/>
      <c r="I7" s="696"/>
      <c r="J7" s="696"/>
    </row>
    <row r="8" spans="1:10" ht="19.5" customHeight="1" x14ac:dyDescent="0.5">
      <c r="A8" s="1734" t="s">
        <v>885</v>
      </c>
      <c r="B8" s="1430">
        <v>107326.699486</v>
      </c>
      <c r="C8" s="2092" t="s">
        <v>25</v>
      </c>
      <c r="D8" s="1430">
        <v>95168.340939000002</v>
      </c>
      <c r="E8" s="1431">
        <v>1433248.382796</v>
      </c>
      <c r="F8" s="1432">
        <f t="shared" si="0"/>
        <v>1635743.423221</v>
      </c>
      <c r="G8" s="1389"/>
      <c r="H8" s="696"/>
      <c r="I8" s="696"/>
      <c r="J8" s="696"/>
    </row>
    <row r="9" spans="1:10" ht="19.5" customHeight="1" x14ac:dyDescent="0.5">
      <c r="A9" s="1734" t="s">
        <v>886</v>
      </c>
      <c r="B9" s="1430">
        <v>59268.893335000001</v>
      </c>
      <c r="C9" s="2092" t="s">
        <v>25</v>
      </c>
      <c r="D9" s="1430">
        <v>820633.44669799996</v>
      </c>
      <c r="E9" s="1431">
        <v>1150854.8671899999</v>
      </c>
      <c r="F9" s="1432">
        <f t="shared" si="0"/>
        <v>2030757.207223</v>
      </c>
      <c r="G9" s="1389"/>
      <c r="H9" s="696"/>
      <c r="I9" s="696"/>
      <c r="J9" s="696"/>
    </row>
    <row r="10" spans="1:10" ht="19.5" customHeight="1" x14ac:dyDescent="0.5">
      <c r="A10" s="1734" t="s">
        <v>887</v>
      </c>
      <c r="B10" s="1430">
        <v>4329.58</v>
      </c>
      <c r="C10" s="2092" t="s">
        <v>25</v>
      </c>
      <c r="D10" s="1430">
        <v>2423.47856</v>
      </c>
      <c r="E10" s="1431">
        <v>172519.20650199999</v>
      </c>
      <c r="F10" s="1432">
        <f t="shared" si="0"/>
        <v>179272.26506199999</v>
      </c>
      <c r="G10" s="1389"/>
      <c r="H10" s="696"/>
      <c r="I10" s="696"/>
      <c r="J10" s="696"/>
    </row>
    <row r="11" spans="1:10" ht="19.5" customHeight="1" x14ac:dyDescent="0.5">
      <c r="A11" s="1734" t="s">
        <v>888</v>
      </c>
      <c r="B11" s="1430">
        <v>16716.292000000001</v>
      </c>
      <c r="C11" s="2092" t="s">
        <v>25</v>
      </c>
      <c r="D11" s="1430">
        <v>77553.295851000003</v>
      </c>
      <c r="E11" s="1431">
        <v>120020.807002</v>
      </c>
      <c r="F11" s="1432">
        <f t="shared" si="0"/>
        <v>214290.39485300001</v>
      </c>
      <c r="G11" s="1389"/>
      <c r="H11" s="696"/>
      <c r="I11" s="696"/>
      <c r="J11" s="696"/>
    </row>
    <row r="12" spans="1:10" ht="19.5" customHeight="1" x14ac:dyDescent="0.5">
      <c r="A12" s="1734" t="s">
        <v>889</v>
      </c>
      <c r="B12" s="1430">
        <v>380224.44077599997</v>
      </c>
      <c r="C12" s="2092" t="s">
        <v>25</v>
      </c>
      <c r="D12" s="1430">
        <v>158250.94552199999</v>
      </c>
      <c r="E12" s="1431">
        <v>2533177.0507780001</v>
      </c>
      <c r="F12" s="1432">
        <f t="shared" si="0"/>
        <v>3071652.437076</v>
      </c>
      <c r="G12" s="1389"/>
      <c r="H12" s="696"/>
      <c r="I12" s="696"/>
      <c r="J12" s="696"/>
    </row>
    <row r="13" spans="1:10" ht="19.5" customHeight="1" x14ac:dyDescent="0.5">
      <c r="A13" s="1734" t="s">
        <v>890</v>
      </c>
      <c r="B13" s="1430">
        <v>31196.551831000001</v>
      </c>
      <c r="C13" s="2092" t="s">
        <v>25</v>
      </c>
      <c r="D13" s="1430">
        <v>23251.210591999999</v>
      </c>
      <c r="E13" s="1431">
        <v>88162.443555000005</v>
      </c>
      <c r="F13" s="1432">
        <f t="shared" si="0"/>
        <v>142610.20597800001</v>
      </c>
      <c r="G13" s="1389"/>
      <c r="H13" s="696"/>
      <c r="I13" s="696"/>
      <c r="J13" s="696"/>
    </row>
    <row r="14" spans="1:10" ht="19.5" customHeight="1" x14ac:dyDescent="0.5">
      <c r="A14" s="1734" t="s">
        <v>891</v>
      </c>
      <c r="B14" s="1430">
        <v>48486.71703</v>
      </c>
      <c r="C14" s="2092" t="s">
        <v>25</v>
      </c>
      <c r="D14" s="1430">
        <v>298476.96410600003</v>
      </c>
      <c r="E14" s="1431">
        <v>332610.17007300002</v>
      </c>
      <c r="F14" s="1432">
        <f t="shared" si="0"/>
        <v>679573.85120899999</v>
      </c>
      <c r="G14" s="1389"/>
      <c r="H14" s="696"/>
      <c r="I14" s="696"/>
      <c r="J14" s="696"/>
    </row>
    <row r="15" spans="1:10" ht="19.5" customHeight="1" x14ac:dyDescent="0.5">
      <c r="A15" s="1734" t="s">
        <v>892</v>
      </c>
      <c r="B15" s="1430">
        <v>22342.824318999999</v>
      </c>
      <c r="C15" s="2092" t="s">
        <v>25</v>
      </c>
      <c r="D15" s="1430">
        <v>26539.576652</v>
      </c>
      <c r="E15" s="1431">
        <v>106955.44009600001</v>
      </c>
      <c r="F15" s="1432">
        <f t="shared" si="0"/>
        <v>155837.841067</v>
      </c>
      <c r="G15" s="1389"/>
      <c r="H15" s="696"/>
      <c r="I15" s="696"/>
      <c r="J15" s="696"/>
    </row>
    <row r="16" spans="1:10" ht="19.5" customHeight="1" x14ac:dyDescent="0.5">
      <c r="A16" s="1734" t="s">
        <v>893</v>
      </c>
      <c r="B16" s="1430">
        <v>198086.76450399999</v>
      </c>
      <c r="C16" s="2092" t="s">
        <v>25</v>
      </c>
      <c r="D16" s="1430">
        <v>286983.22935600003</v>
      </c>
      <c r="E16" s="1431">
        <v>1706835.9207299999</v>
      </c>
      <c r="F16" s="1432">
        <f t="shared" si="0"/>
        <v>2191905.9145900002</v>
      </c>
      <c r="G16" s="1389"/>
      <c r="H16" s="696"/>
      <c r="I16" s="696"/>
      <c r="J16" s="696"/>
    </row>
    <row r="17" spans="1:10" ht="19.5" customHeight="1" x14ac:dyDescent="0.5">
      <c r="A17" s="1734" t="s">
        <v>894</v>
      </c>
      <c r="B17" s="1430">
        <v>4620.32348</v>
      </c>
      <c r="C17" s="2092" t="s">
        <v>25</v>
      </c>
      <c r="D17" s="1430">
        <v>26715.862150000001</v>
      </c>
      <c r="E17" s="1431">
        <v>1704093.6075250001</v>
      </c>
      <c r="F17" s="1432">
        <f t="shared" si="0"/>
        <v>1735429.7931550001</v>
      </c>
      <c r="G17" s="1389"/>
      <c r="H17" s="696"/>
      <c r="I17" s="696"/>
      <c r="J17" s="696"/>
    </row>
    <row r="18" spans="1:10" ht="19.5" customHeight="1" x14ac:dyDescent="0.5">
      <c r="A18" s="1734" t="s">
        <v>895</v>
      </c>
      <c r="B18" s="1430">
        <v>51474.876400000001</v>
      </c>
      <c r="C18" s="2092" t="s">
        <v>25</v>
      </c>
      <c r="D18" s="1430">
        <v>148965.572166</v>
      </c>
      <c r="E18" s="1431">
        <v>115241.24802</v>
      </c>
      <c r="F18" s="1432">
        <f t="shared" si="0"/>
        <v>315681.69658600003</v>
      </c>
      <c r="G18" s="1389"/>
      <c r="H18" s="696"/>
      <c r="I18" s="696"/>
      <c r="J18" s="696"/>
    </row>
    <row r="19" spans="1:10" ht="19.5" customHeight="1" x14ac:dyDescent="0.5">
      <c r="A19" s="1734" t="s">
        <v>896</v>
      </c>
      <c r="B19" s="1430">
        <v>16208.201606000001</v>
      </c>
      <c r="C19" s="2092" t="s">
        <v>25</v>
      </c>
      <c r="D19" s="1430">
        <v>5926.5172730000004</v>
      </c>
      <c r="E19" s="1431">
        <v>38169.807758000003</v>
      </c>
      <c r="F19" s="1432">
        <f t="shared" si="0"/>
        <v>60304.526637000003</v>
      </c>
      <c r="G19" s="1389"/>
      <c r="H19" s="696"/>
      <c r="I19" s="696"/>
      <c r="J19" s="696"/>
    </row>
    <row r="20" spans="1:10" ht="19.5" customHeight="1" x14ac:dyDescent="0.5">
      <c r="A20" s="1734" t="s">
        <v>897</v>
      </c>
      <c r="B20" s="1430">
        <v>2036.045828</v>
      </c>
      <c r="C20" s="2092" t="s">
        <v>25</v>
      </c>
      <c r="D20" s="1430">
        <v>169828.50242400001</v>
      </c>
      <c r="E20" s="1431">
        <v>27653.341619999999</v>
      </c>
      <c r="F20" s="1432">
        <f t="shared" si="0"/>
        <v>199517.889872</v>
      </c>
      <c r="G20" s="1389"/>
      <c r="H20" s="1433"/>
      <c r="I20" s="696"/>
      <c r="J20" s="696"/>
    </row>
    <row r="21" spans="1:10" ht="19.5" customHeight="1" x14ac:dyDescent="0.5">
      <c r="A21" s="1734" t="s">
        <v>898</v>
      </c>
      <c r="B21" s="1430">
        <v>12138.622668</v>
      </c>
      <c r="C21" s="2092" t="s">
        <v>25</v>
      </c>
      <c r="D21" s="1430">
        <v>8569.5995239999993</v>
      </c>
      <c r="E21" s="1431">
        <v>153989.78564799999</v>
      </c>
      <c r="F21" s="1432">
        <f t="shared" si="0"/>
        <v>174698.00783999998</v>
      </c>
      <c r="G21" s="1389"/>
      <c r="H21" s="696"/>
      <c r="I21" s="696"/>
      <c r="J21" s="696"/>
    </row>
    <row r="22" spans="1:10" ht="19.5" customHeight="1" x14ac:dyDescent="0.5">
      <c r="A22" s="1734" t="s">
        <v>899</v>
      </c>
      <c r="B22" s="1430">
        <v>44148.129212</v>
      </c>
      <c r="C22" s="2092" t="s">
        <v>25</v>
      </c>
      <c r="D22" s="1430">
        <v>32317.395451</v>
      </c>
      <c r="E22" s="1431">
        <v>98990.553656999997</v>
      </c>
      <c r="F22" s="1432">
        <f t="shared" si="0"/>
        <v>175456.07832</v>
      </c>
      <c r="G22" s="1389"/>
      <c r="H22" s="696"/>
      <c r="I22" s="696"/>
      <c r="J22" s="696"/>
    </row>
    <row r="23" spans="1:10" ht="19.5" customHeight="1" x14ac:dyDescent="0.5">
      <c r="A23" s="1734" t="s">
        <v>900</v>
      </c>
      <c r="B23" s="1430">
        <v>68492.243010999999</v>
      </c>
      <c r="C23" s="2092" t="s">
        <v>25</v>
      </c>
      <c r="D23" s="1430">
        <v>11027.0784</v>
      </c>
      <c r="E23" s="1431">
        <v>269122.393637</v>
      </c>
      <c r="F23" s="1432">
        <f t="shared" si="0"/>
        <v>348641.71504799998</v>
      </c>
      <c r="G23" s="1389"/>
      <c r="H23" s="696"/>
      <c r="I23" s="696"/>
      <c r="J23" s="696"/>
    </row>
    <row r="24" spans="1:10" ht="19.5" customHeight="1" x14ac:dyDescent="0.5">
      <c r="A24" s="1734" t="s">
        <v>901</v>
      </c>
      <c r="B24" s="1430">
        <v>461826.44</v>
      </c>
      <c r="C24" s="2092" t="s">
        <v>25</v>
      </c>
      <c r="D24" s="1430">
        <v>16640.599402</v>
      </c>
      <c r="E24" s="1431">
        <v>0</v>
      </c>
      <c r="F24" s="1432">
        <f t="shared" si="0"/>
        <v>478467.03940200002</v>
      </c>
      <c r="G24" s="1389"/>
      <c r="H24" s="696"/>
      <c r="I24" s="696"/>
      <c r="J24" s="696"/>
    </row>
    <row r="25" spans="1:10" ht="19.5" customHeight="1" x14ac:dyDescent="0.5">
      <c r="A25" s="1734" t="s">
        <v>902</v>
      </c>
      <c r="B25" s="1430">
        <v>3744.1354999999999</v>
      </c>
      <c r="C25" s="2092" t="s">
        <v>25</v>
      </c>
      <c r="D25" s="1430">
        <v>4016.362267</v>
      </c>
      <c r="E25" s="1431">
        <v>0</v>
      </c>
      <c r="F25" s="1728">
        <f t="shared" si="0"/>
        <v>7760.4977669999998</v>
      </c>
      <c r="G25" s="1389"/>
      <c r="H25" s="1434"/>
      <c r="I25" s="1389"/>
      <c r="J25" s="1386"/>
    </row>
    <row r="26" spans="1:10" ht="19.5" customHeight="1" x14ac:dyDescent="0.5">
      <c r="A26" s="1734" t="s">
        <v>903</v>
      </c>
      <c r="B26" s="1430">
        <v>70077.101343000002</v>
      </c>
      <c r="C26" s="2092" t="s">
        <v>25</v>
      </c>
      <c r="D26" s="1430">
        <v>218107.05895800001</v>
      </c>
      <c r="E26" s="1431">
        <v>0</v>
      </c>
      <c r="F26" s="1432">
        <f t="shared" si="0"/>
        <v>288184.160301</v>
      </c>
      <c r="G26" s="1389"/>
      <c r="H26" s="697"/>
      <c r="I26" s="697"/>
      <c r="J26" s="1386"/>
    </row>
    <row r="27" spans="1:10" ht="19.5" customHeight="1" x14ac:dyDescent="0.5">
      <c r="A27" s="1735" t="s">
        <v>904</v>
      </c>
      <c r="B27" s="1430">
        <v>273196.46765499999</v>
      </c>
      <c r="C27" s="2092" t="s">
        <v>25</v>
      </c>
      <c r="D27" s="1430">
        <v>6152151.7826279998</v>
      </c>
      <c r="E27" s="1431">
        <v>0</v>
      </c>
      <c r="F27" s="1432">
        <f t="shared" si="0"/>
        <v>6425348.2502830001</v>
      </c>
      <c r="G27" s="1389"/>
      <c r="H27" s="1434"/>
      <c r="I27" s="1389"/>
      <c r="J27" s="1386"/>
    </row>
    <row r="28" spans="1:10" ht="16.5" customHeight="1" x14ac:dyDescent="0.5">
      <c r="A28" s="1734" t="s">
        <v>905</v>
      </c>
      <c r="B28" s="1430">
        <v>133340.76106799999</v>
      </c>
      <c r="C28" s="2092" t="s">
        <v>25</v>
      </c>
      <c r="D28" s="1430">
        <v>1991.7747059999999</v>
      </c>
      <c r="E28" s="1431">
        <v>0</v>
      </c>
      <c r="F28" s="1432">
        <f t="shared" si="0"/>
        <v>135332.53577399999</v>
      </c>
      <c r="G28" s="1389"/>
      <c r="H28" s="1434"/>
      <c r="I28" s="1389"/>
      <c r="J28" s="1386"/>
    </row>
    <row r="29" spans="1:10" ht="19.5" customHeight="1" thickBot="1" x14ac:dyDescent="0.55000000000000004">
      <c r="A29" s="1734" t="s">
        <v>906</v>
      </c>
      <c r="B29" s="1430">
        <v>736669.15584300004</v>
      </c>
      <c r="C29" s="1430">
        <v>14362233.731614999</v>
      </c>
      <c r="D29" s="1430">
        <v>300124.621782</v>
      </c>
      <c r="E29" s="1431">
        <v>2354375.5410420001</v>
      </c>
      <c r="F29" s="1432">
        <f t="shared" si="0"/>
        <v>17753403.050282001</v>
      </c>
      <c r="G29" s="1389"/>
      <c r="H29" s="1434"/>
      <c r="I29" s="1389"/>
      <c r="J29" s="1386"/>
    </row>
    <row r="30" spans="1:10" ht="23.25" customHeight="1" thickBot="1" x14ac:dyDescent="0.55000000000000004">
      <c r="A30" s="1736" t="s">
        <v>170</v>
      </c>
      <c r="B30" s="1737">
        <f>SUM(B4:B29)</f>
        <v>3807522.160643999</v>
      </c>
      <c r="C30" s="1737">
        <f>SUM(C4:C29)</f>
        <v>14362233.731614999</v>
      </c>
      <c r="D30" s="1737">
        <f>SUM(D4:D29)</f>
        <v>9292597.554299999</v>
      </c>
      <c r="E30" s="1738">
        <f>SUM(E4:E29)</f>
        <v>13920866.436662002</v>
      </c>
      <c r="F30" s="1739">
        <f>SUM(F4:F29)</f>
        <v>41383219.883221</v>
      </c>
      <c r="G30" s="1389"/>
      <c r="H30" s="1434"/>
      <c r="I30" s="1389"/>
      <c r="J30" s="1386"/>
    </row>
    <row r="31" spans="1:10" ht="12" customHeight="1" x14ac:dyDescent="0.55000000000000004">
      <c r="A31" s="1386"/>
      <c r="B31" s="1435"/>
      <c r="C31" s="1435"/>
      <c r="D31" s="1435"/>
      <c r="E31" s="1436"/>
      <c r="F31" s="1437"/>
      <c r="G31" s="1386"/>
      <c r="H31" s="1428"/>
      <c r="I31" s="1386"/>
      <c r="J31" s="1386"/>
    </row>
    <row r="32" spans="1:10" ht="32.25" customHeight="1" x14ac:dyDescent="0.5">
      <c r="A32" s="3353" t="s">
        <v>907</v>
      </c>
      <c r="B32" s="3353"/>
      <c r="C32" s="3353"/>
      <c r="D32" s="3353"/>
      <c r="E32" s="3353"/>
      <c r="F32" s="3353"/>
      <c r="G32" s="1386"/>
      <c r="H32" s="1428"/>
      <c r="I32" s="1386"/>
      <c r="J32" s="1386"/>
    </row>
    <row r="33" spans="1:10" ht="20.25" customHeight="1" x14ac:dyDescent="0.6">
      <c r="A33" s="1438" t="s">
        <v>908</v>
      </c>
      <c r="B33" s="1439"/>
      <c r="C33" s="1439"/>
      <c r="D33" s="1439"/>
      <c r="E33" s="1440"/>
      <c r="F33" s="1440"/>
      <c r="G33" s="1441"/>
      <c r="H33" s="1442"/>
      <c r="I33" s="1441"/>
      <c r="J33" s="1386"/>
    </row>
  </sheetData>
  <mergeCells count="3">
    <mergeCell ref="A1:F1"/>
    <mergeCell ref="A2:F2"/>
    <mergeCell ref="A32:F32"/>
  </mergeCells>
  <pageMargins left="0.51181102362204722" right="0.51181102362204722" top="0.74803149606299213" bottom="0.74803149606299213" header="0" footer="0"/>
  <pageSetup paperSize="9" scale="9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00B050"/>
  </sheetPr>
  <dimension ref="A1:Q81"/>
  <sheetViews>
    <sheetView rightToLeft="1" zoomScale="80" zoomScaleNormal="80" workbookViewId="0">
      <selection activeCell="A40" sqref="A40:F40"/>
    </sheetView>
  </sheetViews>
  <sheetFormatPr defaultColWidth="7" defaultRowHeight="15.75" x14ac:dyDescent="0.4"/>
  <cols>
    <col min="1" max="1" width="29.875" style="1391" bestFit="1" customWidth="1"/>
    <col min="2" max="2" width="18.75" style="1386" customWidth="1"/>
    <col min="3" max="4" width="17.375" style="1386" bestFit="1" customWidth="1"/>
    <col min="5" max="5" width="15.875" style="1386" bestFit="1" customWidth="1"/>
    <col min="6" max="6" width="22.25" style="1386" bestFit="1" customWidth="1"/>
    <col min="7" max="7" width="13" style="1386" bestFit="1" customWidth="1"/>
    <col min="8" max="8" width="17.375" style="1386" bestFit="1" customWidth="1"/>
    <col min="9" max="9" width="23.125" style="1386" customWidth="1"/>
    <col min="10" max="10" width="7" style="1386" customWidth="1"/>
    <col min="11" max="11" width="10.875" style="1386" bestFit="1" customWidth="1"/>
    <col min="12" max="14" width="7" style="1386"/>
    <col min="15" max="15" width="11.375" style="1386" customWidth="1"/>
    <col min="16" max="16384" width="7" style="1386"/>
  </cols>
  <sheetData>
    <row r="1" spans="1:11" ht="24" x14ac:dyDescent="0.4">
      <c r="A1" s="3355" t="s">
        <v>778</v>
      </c>
      <c r="B1" s="3355"/>
      <c r="C1" s="3355"/>
      <c r="D1" s="3355"/>
      <c r="E1" s="3355"/>
      <c r="F1" s="3355"/>
      <c r="G1" s="3355"/>
      <c r="H1" s="3355"/>
      <c r="I1" s="3355"/>
    </row>
    <row r="2" spans="1:11" ht="21.75" thickBot="1" x14ac:dyDescent="0.6">
      <c r="A2" s="1387"/>
      <c r="B2" s="1388"/>
      <c r="C2" s="1388"/>
      <c r="D2" s="1388"/>
      <c r="E2" s="1388"/>
      <c r="F2" s="1388"/>
      <c r="G2" s="1388"/>
      <c r="H2" s="3356" t="s">
        <v>779</v>
      </c>
      <c r="I2" s="3356"/>
    </row>
    <row r="3" spans="1:11" ht="30.75" customHeight="1" thickBot="1" x14ac:dyDescent="0.45">
      <c r="A3" s="1578" t="s">
        <v>118</v>
      </c>
      <c r="B3" s="1579" t="s">
        <v>780</v>
      </c>
      <c r="C3" s="1580" t="s">
        <v>781</v>
      </c>
      <c r="D3" s="1580" t="s">
        <v>782</v>
      </c>
      <c r="E3" s="1581" t="s">
        <v>783</v>
      </c>
      <c r="F3" s="1582" t="s">
        <v>784</v>
      </c>
      <c r="G3" s="1581" t="s">
        <v>785</v>
      </c>
      <c r="H3" s="1581" t="s">
        <v>786</v>
      </c>
      <c r="I3" s="1583" t="s">
        <v>33</v>
      </c>
    </row>
    <row r="4" spans="1:11" ht="19.5" x14ac:dyDescent="0.55000000000000004">
      <c r="A4" s="1586" t="s">
        <v>787</v>
      </c>
      <c r="B4" s="1594">
        <v>5606578372848.9355</v>
      </c>
      <c r="C4" s="1584">
        <v>443504724969</v>
      </c>
      <c r="D4" s="1584">
        <v>229729194568</v>
      </c>
      <c r="E4" s="1584">
        <v>12382125756</v>
      </c>
      <c r="F4" s="1584">
        <f t="shared" ref="F4:F29" si="0">SUM(B4:E4)</f>
        <v>6292194418141.9355</v>
      </c>
      <c r="G4" s="1584">
        <v>2.858432470836743</v>
      </c>
      <c r="H4" s="1595">
        <v>529452296325</v>
      </c>
      <c r="I4" s="1590">
        <f>H4+F4</f>
        <v>6821646714466.9355</v>
      </c>
      <c r="J4" s="1389"/>
      <c r="K4" s="1390"/>
    </row>
    <row r="5" spans="1:11" ht="19.5" x14ac:dyDescent="0.55000000000000004">
      <c r="A5" s="1587" t="s">
        <v>788</v>
      </c>
      <c r="B5" s="1596">
        <v>7847626920522.251</v>
      </c>
      <c r="C5" s="1572">
        <v>533922402125</v>
      </c>
      <c r="D5" s="1572">
        <v>173529772626</v>
      </c>
      <c r="E5" s="1572">
        <v>21579972912</v>
      </c>
      <c r="F5" s="1572">
        <f t="shared" si="0"/>
        <v>8576659068185.251</v>
      </c>
      <c r="G5" s="1572">
        <v>3.896224296743291</v>
      </c>
      <c r="H5" s="1597">
        <v>793967606356</v>
      </c>
      <c r="I5" s="1591">
        <f t="shared" ref="I5:I29" si="1">H5+F5</f>
        <v>9370626674541.25</v>
      </c>
      <c r="J5" s="1389"/>
      <c r="K5" s="1390"/>
    </row>
    <row r="6" spans="1:11" ht="19.5" x14ac:dyDescent="0.55000000000000004">
      <c r="A6" s="1587" t="s">
        <v>789</v>
      </c>
      <c r="B6" s="1596">
        <v>12472136131893.564</v>
      </c>
      <c r="C6" s="1572">
        <v>819346742711</v>
      </c>
      <c r="D6" s="1572">
        <v>100110502912</v>
      </c>
      <c r="E6" s="1572">
        <v>7282128986</v>
      </c>
      <c r="F6" s="1572">
        <f t="shared" si="0"/>
        <v>13398875506502.564</v>
      </c>
      <c r="G6" s="1572">
        <v>6.0868718089921696</v>
      </c>
      <c r="H6" s="1597">
        <v>1167093126835</v>
      </c>
      <c r="I6" s="1591">
        <f t="shared" si="1"/>
        <v>14565968633337.564</v>
      </c>
      <c r="J6" s="1389"/>
      <c r="K6" s="1390"/>
    </row>
    <row r="7" spans="1:11" ht="19.5" x14ac:dyDescent="0.55000000000000004">
      <c r="A7" s="1587" t="s">
        <v>790</v>
      </c>
      <c r="B7" s="1596">
        <v>4035021042046.2651</v>
      </c>
      <c r="C7" s="1572">
        <v>196670880790</v>
      </c>
      <c r="D7" s="1572">
        <v>34254545254</v>
      </c>
      <c r="E7" s="1572">
        <v>1429365393</v>
      </c>
      <c r="F7" s="1572">
        <f t="shared" si="0"/>
        <v>4267375833483.2651</v>
      </c>
      <c r="G7" s="1572">
        <v>1.9385932533366643</v>
      </c>
      <c r="H7" s="1597">
        <v>213670110911</v>
      </c>
      <c r="I7" s="1591">
        <f t="shared" si="1"/>
        <v>4481045944394.2656</v>
      </c>
      <c r="J7" s="1389"/>
      <c r="K7" s="1390"/>
    </row>
    <row r="8" spans="1:11" ht="19.5" x14ac:dyDescent="0.55000000000000004">
      <c r="A8" s="1587" t="s">
        <v>791</v>
      </c>
      <c r="B8" s="1596">
        <v>4367580622246.5112</v>
      </c>
      <c r="C8" s="1572">
        <v>214533943951</v>
      </c>
      <c r="D8" s="1572">
        <v>94402620221</v>
      </c>
      <c r="E8" s="1572">
        <v>4832580584</v>
      </c>
      <c r="F8" s="1572">
        <f t="shared" si="0"/>
        <v>4681349767002.5117</v>
      </c>
      <c r="G8" s="1572">
        <v>2.126654278634871</v>
      </c>
      <c r="H8" s="1597">
        <v>535739012092</v>
      </c>
      <c r="I8" s="1591">
        <f t="shared" si="1"/>
        <v>5217088779094.5117</v>
      </c>
      <c r="J8" s="1389"/>
      <c r="K8" s="1390"/>
    </row>
    <row r="9" spans="1:11" ht="19.5" x14ac:dyDescent="0.55000000000000004">
      <c r="A9" s="1587" t="s">
        <v>792</v>
      </c>
      <c r="B9" s="1596">
        <v>2501114455603.6924</v>
      </c>
      <c r="C9" s="1572">
        <v>162659143480</v>
      </c>
      <c r="D9" s="1572">
        <v>34567645920</v>
      </c>
      <c r="E9" s="1572">
        <v>2498851181</v>
      </c>
      <c r="F9" s="1572">
        <f t="shared" si="0"/>
        <v>2700840096184.6924</v>
      </c>
      <c r="G9" s="1572">
        <v>1.2269438158511157</v>
      </c>
      <c r="H9" s="1597">
        <v>1212822400978</v>
      </c>
      <c r="I9" s="1591">
        <f t="shared" si="1"/>
        <v>3913662497162.6924</v>
      </c>
      <c r="J9" s="1389"/>
      <c r="K9" s="1390"/>
    </row>
    <row r="10" spans="1:11" ht="19.5" x14ac:dyDescent="0.55000000000000004">
      <c r="A10" s="1587" t="s">
        <v>793</v>
      </c>
      <c r="B10" s="1596">
        <v>423076225352.4812</v>
      </c>
      <c r="C10" s="1572">
        <v>181942904845</v>
      </c>
      <c r="D10" s="1572">
        <v>1342200000</v>
      </c>
      <c r="E10" s="1572">
        <v>10549306205</v>
      </c>
      <c r="F10" s="1572">
        <f t="shared" si="0"/>
        <v>616910636402.4812</v>
      </c>
      <c r="G10" s="1572">
        <v>0.2802515748103882</v>
      </c>
      <c r="H10" s="1597">
        <v>5952429575</v>
      </c>
      <c r="I10" s="1591">
        <f t="shared" si="1"/>
        <v>622863065977.4812</v>
      </c>
      <c r="J10" s="1389"/>
      <c r="K10" s="1390"/>
    </row>
    <row r="11" spans="1:11" ht="19.5" x14ac:dyDescent="0.55000000000000004">
      <c r="A11" s="1587" t="s">
        <v>794</v>
      </c>
      <c r="B11" s="1596">
        <v>5667931013379.9727</v>
      </c>
      <c r="C11" s="1572">
        <v>549124648107</v>
      </c>
      <c r="D11" s="1572">
        <v>141291116755</v>
      </c>
      <c r="E11" s="1572">
        <v>23933216756</v>
      </c>
      <c r="F11" s="1572">
        <f t="shared" si="0"/>
        <v>6382279994997.9727</v>
      </c>
      <c r="G11" s="1572">
        <v>2.8993567527211219</v>
      </c>
      <c r="H11" s="1597">
        <v>450993550249</v>
      </c>
      <c r="I11" s="1591">
        <f t="shared" si="1"/>
        <v>6833273545246.9727</v>
      </c>
      <c r="J11" s="1389"/>
      <c r="K11" s="1390"/>
    </row>
    <row r="12" spans="1:11" ht="19.5" x14ac:dyDescent="0.55000000000000004">
      <c r="A12" s="1587" t="s">
        <v>795</v>
      </c>
      <c r="B12" s="1596">
        <v>4639830326174.543</v>
      </c>
      <c r="C12" s="1572">
        <v>416083913925</v>
      </c>
      <c r="D12" s="1572">
        <v>77283003822</v>
      </c>
      <c r="E12" s="1572">
        <v>7056835314</v>
      </c>
      <c r="F12" s="1572">
        <f t="shared" si="0"/>
        <v>5140254079235.543</v>
      </c>
      <c r="G12" s="1572">
        <v>2.3351263791331984</v>
      </c>
      <c r="H12" s="1597">
        <v>456503237940</v>
      </c>
      <c r="I12" s="1591">
        <f t="shared" si="1"/>
        <v>5596757317175.543</v>
      </c>
      <c r="J12" s="1389"/>
      <c r="K12" s="1390"/>
    </row>
    <row r="13" spans="1:11" ht="19.5" x14ac:dyDescent="0.55000000000000004">
      <c r="A13" s="1587" t="s">
        <v>796</v>
      </c>
      <c r="B13" s="1596">
        <v>3625554734374.7471</v>
      </c>
      <c r="C13" s="1572">
        <v>280022572282</v>
      </c>
      <c r="D13" s="1572">
        <v>105316007425</v>
      </c>
      <c r="E13" s="1572">
        <v>15228935834</v>
      </c>
      <c r="F13" s="1572">
        <f t="shared" si="0"/>
        <v>4026122249915.7471</v>
      </c>
      <c r="G13" s="1572">
        <v>1.8289960236346046</v>
      </c>
      <c r="H13" s="1597">
        <v>324243241047</v>
      </c>
      <c r="I13" s="1591">
        <f t="shared" si="1"/>
        <v>4350365490962.7471</v>
      </c>
      <c r="J13" s="1389"/>
      <c r="K13" s="1390"/>
    </row>
    <row r="14" spans="1:11" ht="19.5" x14ac:dyDescent="0.55000000000000004">
      <c r="A14" s="1587" t="s">
        <v>797</v>
      </c>
      <c r="B14" s="1596">
        <v>18047071893272.711</v>
      </c>
      <c r="C14" s="1572">
        <v>4709972264707</v>
      </c>
      <c r="D14" s="1572">
        <v>1990055280681</v>
      </c>
      <c r="E14" s="1572">
        <v>171964867784</v>
      </c>
      <c r="F14" s="1572">
        <f t="shared" si="0"/>
        <v>24919064306444.711</v>
      </c>
      <c r="G14" s="1572">
        <v>11.320289524277648</v>
      </c>
      <c r="H14" s="1597">
        <v>431092802423</v>
      </c>
      <c r="I14" s="1591">
        <f t="shared" si="1"/>
        <v>25350157108867.711</v>
      </c>
      <c r="J14" s="1389"/>
      <c r="K14" s="1390"/>
    </row>
    <row r="15" spans="1:11" ht="19.5" x14ac:dyDescent="0.55000000000000004">
      <c r="A15" s="1587" t="s">
        <v>798</v>
      </c>
      <c r="B15" s="1596">
        <v>1206424140102.5115</v>
      </c>
      <c r="C15" s="1572">
        <v>122215598105</v>
      </c>
      <c r="D15" s="1572">
        <v>3250506200</v>
      </c>
      <c r="E15" s="1572">
        <v>1293527206</v>
      </c>
      <c r="F15" s="1572">
        <f t="shared" si="0"/>
        <v>1333183771613.5115</v>
      </c>
      <c r="G15" s="1572">
        <v>0.60564177282652676</v>
      </c>
      <c r="H15" s="1597">
        <v>58114755910</v>
      </c>
      <c r="I15" s="1591">
        <f t="shared" si="1"/>
        <v>1391298527523.5115</v>
      </c>
      <c r="J15" s="1389"/>
      <c r="K15" s="1390"/>
    </row>
    <row r="16" spans="1:11" ht="19.5" x14ac:dyDescent="0.55000000000000004">
      <c r="A16" s="1587" t="s">
        <v>799</v>
      </c>
      <c r="B16" s="1596">
        <v>4168794518109.7969</v>
      </c>
      <c r="C16" s="1572">
        <v>374973667369</v>
      </c>
      <c r="D16" s="1572">
        <v>110324389848</v>
      </c>
      <c r="E16" s="1572">
        <v>5741513709</v>
      </c>
      <c r="F16" s="1572">
        <f t="shared" si="0"/>
        <v>4659834089035.7969</v>
      </c>
      <c r="G16" s="1572">
        <v>2.1168800872407205</v>
      </c>
      <c r="H16" s="1597">
        <v>462148262309</v>
      </c>
      <c r="I16" s="1591">
        <f t="shared" si="1"/>
        <v>5121982351344.7969</v>
      </c>
      <c r="J16" s="1389"/>
      <c r="K16" s="1390"/>
    </row>
    <row r="17" spans="1:11" ht="19.5" x14ac:dyDescent="0.55000000000000004">
      <c r="A17" s="1587" t="s">
        <v>800</v>
      </c>
      <c r="B17" s="1596">
        <v>5271484307399.0527</v>
      </c>
      <c r="C17" s="1572">
        <v>171081479715</v>
      </c>
      <c r="D17" s="1572">
        <v>47832516084</v>
      </c>
      <c r="E17" s="1572">
        <v>6384393032</v>
      </c>
      <c r="F17" s="1572">
        <f t="shared" si="0"/>
        <v>5496782696230.0527</v>
      </c>
      <c r="G17" s="1572">
        <v>2.4970910146602363</v>
      </c>
      <c r="H17" s="1597">
        <v>711020646374</v>
      </c>
      <c r="I17" s="1591">
        <f t="shared" si="1"/>
        <v>6207803342604.0527</v>
      </c>
      <c r="J17" s="1389"/>
      <c r="K17" s="1390"/>
    </row>
    <row r="18" spans="1:11" ht="19.5" x14ac:dyDescent="0.55000000000000004">
      <c r="A18" s="1587" t="s">
        <v>801</v>
      </c>
      <c r="B18" s="1596">
        <v>8845375453205.3164</v>
      </c>
      <c r="C18" s="1572">
        <v>263074024733</v>
      </c>
      <c r="D18" s="1572">
        <v>183562045152</v>
      </c>
      <c r="E18" s="1572">
        <v>9894244228</v>
      </c>
      <c r="F18" s="1572">
        <f t="shared" si="0"/>
        <v>9301905767318.3164</v>
      </c>
      <c r="G18" s="1572">
        <v>4.2256910259009208</v>
      </c>
      <c r="H18" s="1597">
        <v>369777375627</v>
      </c>
      <c r="I18" s="1591">
        <f t="shared" si="1"/>
        <v>9671683142945.3164</v>
      </c>
      <c r="J18" s="1389"/>
      <c r="K18" s="1390"/>
    </row>
    <row r="19" spans="1:11" ht="19.5" x14ac:dyDescent="0.55000000000000004">
      <c r="A19" s="1587" t="s">
        <v>802</v>
      </c>
      <c r="B19" s="1596">
        <v>5356791184304.6221</v>
      </c>
      <c r="C19" s="1572">
        <v>482334469800</v>
      </c>
      <c r="D19" s="1572">
        <v>64208260855</v>
      </c>
      <c r="E19" s="1572">
        <v>5896552810</v>
      </c>
      <c r="F19" s="1572">
        <f t="shared" si="0"/>
        <v>5909230467769.6221</v>
      </c>
      <c r="G19" s="1572">
        <v>2.684458731603907</v>
      </c>
      <c r="H19" s="1597">
        <v>377132966052</v>
      </c>
      <c r="I19" s="1591">
        <f t="shared" si="1"/>
        <v>6286363433821.6221</v>
      </c>
      <c r="J19" s="1389"/>
      <c r="K19" s="1390"/>
    </row>
    <row r="20" spans="1:11" ht="19.5" x14ac:dyDescent="0.55000000000000004">
      <c r="A20" s="1587" t="s">
        <v>803</v>
      </c>
      <c r="B20" s="1596">
        <v>9418703942279.7754</v>
      </c>
      <c r="C20" s="1572">
        <v>571171508876</v>
      </c>
      <c r="D20" s="1572">
        <v>212495542791</v>
      </c>
      <c r="E20" s="1572">
        <v>130710048029</v>
      </c>
      <c r="F20" s="1572">
        <f t="shared" si="0"/>
        <v>10333081041975.775</v>
      </c>
      <c r="G20" s="1572">
        <v>4.6941356880217207</v>
      </c>
      <c r="H20" s="1597">
        <v>700665347849</v>
      </c>
      <c r="I20" s="1591">
        <f t="shared" si="1"/>
        <v>11033746389824.775</v>
      </c>
      <c r="J20" s="1389"/>
      <c r="K20" s="1390"/>
    </row>
    <row r="21" spans="1:11" ht="19.5" x14ac:dyDescent="0.55000000000000004">
      <c r="A21" s="1587" t="s">
        <v>804</v>
      </c>
      <c r="B21" s="1596">
        <v>2615606269019.5405</v>
      </c>
      <c r="C21" s="1572">
        <v>208046910566</v>
      </c>
      <c r="D21" s="1572">
        <v>46139980286</v>
      </c>
      <c r="E21" s="1572">
        <v>1239400880</v>
      </c>
      <c r="F21" s="1572">
        <f t="shared" si="0"/>
        <v>2871032560751.5405</v>
      </c>
      <c r="G21" s="1572">
        <v>1.304259237893219</v>
      </c>
      <c r="H21" s="1597">
        <v>170917453545</v>
      </c>
      <c r="I21" s="1591">
        <f t="shared" si="1"/>
        <v>3041950014296.5405</v>
      </c>
      <c r="J21" s="1389"/>
      <c r="K21" s="1390"/>
    </row>
    <row r="22" spans="1:11" ht="19.5" x14ac:dyDescent="0.55000000000000004">
      <c r="A22" s="1587" t="s">
        <v>805</v>
      </c>
      <c r="B22" s="1596">
        <v>53434935010032.023</v>
      </c>
      <c r="C22" s="1572">
        <v>648158461185</v>
      </c>
      <c r="D22" s="1572">
        <v>2521825575</v>
      </c>
      <c r="E22" s="1572">
        <v>45647284966</v>
      </c>
      <c r="F22" s="1572">
        <f t="shared" si="0"/>
        <v>54131262581758.023</v>
      </c>
      <c r="G22" s="1572">
        <v>24.590873766544952</v>
      </c>
      <c r="H22" s="1597">
        <v>2467863447200</v>
      </c>
      <c r="I22" s="1591">
        <f t="shared" si="1"/>
        <v>56599126028958.023</v>
      </c>
      <c r="J22" s="1389"/>
      <c r="K22" s="1390"/>
    </row>
    <row r="23" spans="1:11" ht="19.5" x14ac:dyDescent="0.55000000000000004">
      <c r="A23" s="1587" t="s">
        <v>806</v>
      </c>
      <c r="B23" s="1596">
        <v>12777793966980.447</v>
      </c>
      <c r="C23" s="1572">
        <v>917048802726</v>
      </c>
      <c r="D23" s="1572">
        <v>199899667573</v>
      </c>
      <c r="E23" s="1572">
        <v>19412044329</v>
      </c>
      <c r="F23" s="1572">
        <f t="shared" si="0"/>
        <v>13914154481608.447</v>
      </c>
      <c r="G23" s="1572">
        <v>6.3209539202720491</v>
      </c>
      <c r="H23" s="1597">
        <v>708409433371</v>
      </c>
      <c r="I23" s="1591">
        <f t="shared" si="1"/>
        <v>14622563914979.447</v>
      </c>
      <c r="J23" s="1389"/>
      <c r="K23" s="1390"/>
    </row>
    <row r="24" spans="1:11" ht="19.5" x14ac:dyDescent="0.55000000000000004">
      <c r="A24" s="1587" t="s">
        <v>807</v>
      </c>
      <c r="B24" s="1596">
        <v>3716692797446.4443</v>
      </c>
      <c r="C24" s="1572">
        <v>251355459767</v>
      </c>
      <c r="D24" s="1572">
        <v>17462445977</v>
      </c>
      <c r="E24" s="1572">
        <v>7854389486</v>
      </c>
      <c r="F24" s="1572">
        <f t="shared" si="0"/>
        <v>3993365092676.4443</v>
      </c>
      <c r="G24" s="1572">
        <v>1.814115027326678</v>
      </c>
      <c r="H24" s="1597">
        <v>72376331146</v>
      </c>
      <c r="I24" s="1591">
        <f t="shared" si="1"/>
        <v>4065741423822.4443</v>
      </c>
      <c r="J24" s="1389"/>
      <c r="K24" s="1390"/>
    </row>
    <row r="25" spans="1:11" ht="19.5" x14ac:dyDescent="0.55000000000000004">
      <c r="A25" s="1587" t="s">
        <v>808</v>
      </c>
      <c r="B25" s="1596">
        <v>2323314794723.8882</v>
      </c>
      <c r="C25" s="1572">
        <v>297233846760</v>
      </c>
      <c r="D25" s="1572">
        <v>3763420000</v>
      </c>
      <c r="E25" s="1572">
        <v>16503038055</v>
      </c>
      <c r="F25" s="1572">
        <f t="shared" si="0"/>
        <v>2640815099538.8882</v>
      </c>
      <c r="G25" s="1572">
        <v>1.1996755230946912</v>
      </c>
      <c r="H25" s="1597">
        <v>212441693369</v>
      </c>
      <c r="I25" s="1591">
        <f t="shared" si="1"/>
        <v>2853256792907.8882</v>
      </c>
      <c r="J25" s="1389"/>
      <c r="K25" s="1390"/>
    </row>
    <row r="26" spans="1:11" ht="19.5" x14ac:dyDescent="0.55000000000000004">
      <c r="A26" s="1587" t="s">
        <v>809</v>
      </c>
      <c r="B26" s="1596">
        <v>10079779022122.078</v>
      </c>
      <c r="C26" s="1572">
        <v>576546074641</v>
      </c>
      <c r="D26" s="1572">
        <v>170361862620</v>
      </c>
      <c r="E26" s="1572">
        <v>131130153280</v>
      </c>
      <c r="F26" s="1572">
        <f t="shared" si="0"/>
        <v>10957817112663.078</v>
      </c>
      <c r="G26" s="1572">
        <v>4.9779422190161764</v>
      </c>
      <c r="H26" s="1597">
        <v>554485185173</v>
      </c>
      <c r="I26" s="1591">
        <f t="shared" si="1"/>
        <v>11512302297836.078</v>
      </c>
      <c r="J26" s="1389"/>
      <c r="K26" s="1390"/>
    </row>
    <row r="27" spans="1:11" ht="19.5" x14ac:dyDescent="0.55000000000000004">
      <c r="A27" s="1587" t="s">
        <v>810</v>
      </c>
      <c r="B27" s="1596">
        <v>2330379552613.7275</v>
      </c>
      <c r="C27" s="1572">
        <v>201647211949</v>
      </c>
      <c r="D27" s="1572">
        <v>75404039025</v>
      </c>
      <c r="E27" s="1572">
        <v>29011200097</v>
      </c>
      <c r="F27" s="1572">
        <f t="shared" si="0"/>
        <v>2636442003684.7275</v>
      </c>
      <c r="G27" s="1572">
        <v>1.1976889031085742</v>
      </c>
      <c r="H27" s="1597">
        <v>219010511505</v>
      </c>
      <c r="I27" s="1591">
        <f t="shared" si="1"/>
        <v>2855452515189.7275</v>
      </c>
      <c r="J27" s="1389"/>
      <c r="K27" s="1390"/>
    </row>
    <row r="28" spans="1:11" ht="19.5" x14ac:dyDescent="0.55000000000000004">
      <c r="A28" s="1587" t="s">
        <v>811</v>
      </c>
      <c r="B28" s="1596">
        <v>9911904487383.248</v>
      </c>
      <c r="C28" s="1572">
        <v>406323703085</v>
      </c>
      <c r="D28" s="1572">
        <v>154601540049</v>
      </c>
      <c r="E28" s="1572">
        <v>56561292172</v>
      </c>
      <c r="F28" s="1572">
        <f t="shared" si="0"/>
        <v>10529391022689.248</v>
      </c>
      <c r="G28" s="1572">
        <v>4.7833158350309777</v>
      </c>
      <c r="H28" s="1597">
        <v>425370886482</v>
      </c>
      <c r="I28" s="1591">
        <f t="shared" si="1"/>
        <v>10954761909171.248</v>
      </c>
      <c r="J28" s="1389"/>
      <c r="K28" s="1390"/>
    </row>
    <row r="29" spans="1:11" ht="20.25" thickBot="1" x14ac:dyDescent="0.6">
      <c r="A29" s="1588" t="s">
        <v>812</v>
      </c>
      <c r="B29" s="1598">
        <v>290197690709.85376</v>
      </c>
      <c r="C29" s="1585">
        <v>123698599431</v>
      </c>
      <c r="D29" s="1585">
        <v>1941400000</v>
      </c>
      <c r="E29" s="1585">
        <v>1385419564</v>
      </c>
      <c r="F29" s="1585">
        <f t="shared" si="0"/>
        <v>417223109704.85376</v>
      </c>
      <c r="G29" s="1585">
        <v>0.18953706848683272</v>
      </c>
      <c r="H29" s="1599">
        <v>178156816339</v>
      </c>
      <c r="I29" s="1592">
        <f t="shared" si="1"/>
        <v>595379926043.85376</v>
      </c>
      <c r="J29" s="1389"/>
      <c r="K29" s="1390"/>
    </row>
    <row r="30" spans="1:11" ht="20.25" thickBot="1" x14ac:dyDescent="0.45">
      <c r="A30" s="1589" t="s">
        <v>33</v>
      </c>
      <c r="B30" s="1577">
        <f>SUM(B4:B29)</f>
        <v>200981698874147.94</v>
      </c>
      <c r="C30" s="1577">
        <f t="shared" ref="C30:H30" si="2">SUM(C4:C29)</f>
        <v>14122693960600</v>
      </c>
      <c r="D30" s="1577">
        <f t="shared" si="2"/>
        <v>4275651332219</v>
      </c>
      <c r="E30" s="1577">
        <f t="shared" si="2"/>
        <v>747402688548</v>
      </c>
      <c r="F30" s="1577">
        <f>SUM(F4:F29)</f>
        <v>220127446855515</v>
      </c>
      <c r="G30" s="1577">
        <f>SUM(G4:G29)</f>
        <v>99.999999999999986</v>
      </c>
      <c r="H30" s="1600">
        <f t="shared" si="2"/>
        <v>13809420926982</v>
      </c>
      <c r="I30" s="1593">
        <f>SUM(I4:I29)</f>
        <v>233936867782497</v>
      </c>
      <c r="J30" s="1389"/>
      <c r="K30" s="1390"/>
    </row>
    <row r="31" spans="1:11" x14ac:dyDescent="0.4">
      <c r="A31" s="3357" t="s">
        <v>813</v>
      </c>
      <c r="B31" s="3357"/>
      <c r="C31" s="3357"/>
      <c r="D31" s="3357"/>
      <c r="E31" s="3357"/>
      <c r="F31" s="3357"/>
      <c r="G31" s="3357"/>
      <c r="H31" s="3357"/>
      <c r="I31" s="3357"/>
    </row>
    <row r="32" spans="1:11" ht="17.25" x14ac:dyDescent="0.5">
      <c r="A32" s="1573" t="s">
        <v>814</v>
      </c>
      <c r="B32" s="1573"/>
      <c r="C32" s="1574"/>
      <c r="D32" s="1574"/>
      <c r="E32" s="1574"/>
      <c r="F32" s="1575"/>
      <c r="G32" s="1574"/>
      <c r="H32" s="1574"/>
      <c r="I32" s="1576"/>
    </row>
    <row r="33" spans="1:17" x14ac:dyDescent="0.4">
      <c r="B33" s="1389"/>
      <c r="C33" s="1389"/>
      <c r="I33" s="1389"/>
    </row>
    <row r="34" spans="1:17" x14ac:dyDescent="0.4">
      <c r="I34" s="1389"/>
    </row>
    <row r="37" spans="1:17" ht="18" x14ac:dyDescent="0.5">
      <c r="A37" s="681"/>
      <c r="B37" s="3358"/>
      <c r="C37" s="3358"/>
      <c r="D37" s="3358"/>
      <c r="E37" s="3358"/>
      <c r="F37" s="3358"/>
      <c r="G37" s="3358"/>
      <c r="H37" s="3358"/>
      <c r="I37" s="3358"/>
      <c r="J37" s="682"/>
      <c r="K37" s="682"/>
      <c r="L37" s="682"/>
      <c r="M37" s="682"/>
      <c r="N37" s="682"/>
      <c r="O37" s="682"/>
      <c r="P37" s="682"/>
      <c r="Q37" s="682"/>
    </row>
    <row r="38" spans="1:17" ht="18" x14ac:dyDescent="0.5">
      <c r="B38" s="3358"/>
      <c r="C38" s="3358"/>
      <c r="D38" s="3358"/>
      <c r="E38" s="3358"/>
      <c r="F38" s="3358"/>
      <c r="G38" s="3358"/>
      <c r="H38" s="3358"/>
      <c r="I38" s="3358"/>
      <c r="J38" s="682"/>
      <c r="K38" s="682"/>
      <c r="L38" s="682"/>
      <c r="M38" s="682"/>
      <c r="N38" s="682"/>
      <c r="O38" s="682"/>
      <c r="P38" s="682"/>
      <c r="Q38" s="682"/>
    </row>
    <row r="39" spans="1:17" ht="18" x14ac:dyDescent="0.5">
      <c r="B39" s="3354"/>
      <c r="C39" s="3354"/>
      <c r="D39" s="682"/>
      <c r="E39" s="682"/>
      <c r="F39" s="682"/>
      <c r="G39" s="682"/>
      <c r="H39" s="682"/>
      <c r="I39" s="682"/>
      <c r="J39" s="1392"/>
      <c r="K39" s="1393"/>
      <c r="L39" s="1393"/>
      <c r="M39" s="1393"/>
      <c r="N39" s="1393"/>
      <c r="O39" s="1393"/>
      <c r="P39" s="1394"/>
      <c r="Q39" s="1395"/>
    </row>
    <row r="40" spans="1:17" ht="18" x14ac:dyDescent="0.5">
      <c r="B40" s="682"/>
      <c r="C40" s="682"/>
      <c r="D40" s="682"/>
      <c r="E40" s="682"/>
      <c r="F40" s="682"/>
      <c r="G40" s="682"/>
      <c r="H40" s="682"/>
      <c r="I40" s="682"/>
      <c r="J40" s="1392"/>
      <c r="K40" s="1393"/>
      <c r="L40" s="1393"/>
      <c r="M40" s="1393"/>
      <c r="N40" s="1393"/>
      <c r="O40" s="1393"/>
      <c r="P40" s="1394"/>
      <c r="Q40" s="1395"/>
    </row>
    <row r="41" spans="1:17" x14ac:dyDescent="0.4">
      <c r="J41" s="1392"/>
      <c r="K41" s="1393"/>
      <c r="L41" s="1393"/>
      <c r="M41" s="1393"/>
      <c r="N41" s="1393"/>
      <c r="O41" s="1393"/>
      <c r="P41" s="1394"/>
      <c r="Q41" s="1395"/>
    </row>
    <row r="42" spans="1:17" ht="18" x14ac:dyDescent="0.5">
      <c r="B42" s="682"/>
      <c r="C42" s="682"/>
      <c r="D42" s="682"/>
      <c r="E42" s="682"/>
      <c r="F42" s="682"/>
      <c r="G42" s="682"/>
      <c r="H42" s="682"/>
      <c r="I42" s="682"/>
      <c r="J42" s="1392"/>
      <c r="K42" s="1393"/>
      <c r="L42" s="1393"/>
      <c r="M42" s="1393"/>
      <c r="N42" s="1393"/>
      <c r="O42" s="1393"/>
      <c r="P42" s="1394"/>
      <c r="Q42" s="1395"/>
    </row>
    <row r="43" spans="1:17" x14ac:dyDescent="0.4">
      <c r="J43" s="1392"/>
      <c r="K43" s="1393"/>
      <c r="L43" s="1393"/>
      <c r="M43" s="1393"/>
      <c r="N43" s="1393"/>
      <c r="O43" s="1393"/>
      <c r="P43" s="1394"/>
      <c r="Q43" s="1395"/>
    </row>
    <row r="44" spans="1:17" x14ac:dyDescent="0.4">
      <c r="J44" s="1392"/>
      <c r="K44" s="1393"/>
      <c r="L44" s="1393"/>
      <c r="M44" s="1393"/>
      <c r="N44" s="1393"/>
      <c r="O44" s="1393"/>
      <c r="P44" s="1394"/>
      <c r="Q44" s="1395"/>
    </row>
    <row r="45" spans="1:17" x14ac:dyDescent="0.4">
      <c r="J45" s="1392"/>
      <c r="K45" s="1393"/>
      <c r="L45" s="1393"/>
      <c r="M45" s="1393"/>
      <c r="N45" s="1393"/>
      <c r="O45" s="1393"/>
      <c r="P45" s="1394"/>
      <c r="Q45" s="1395"/>
    </row>
    <row r="46" spans="1:17" ht="18" x14ac:dyDescent="0.5">
      <c r="B46" s="682"/>
      <c r="C46" s="682"/>
      <c r="D46" s="682"/>
      <c r="E46" s="682"/>
      <c r="F46" s="682"/>
      <c r="G46" s="682"/>
      <c r="H46" s="682"/>
      <c r="I46" s="682"/>
      <c r="J46" s="1392"/>
      <c r="K46" s="1393"/>
      <c r="L46" s="1393"/>
      <c r="M46" s="1393"/>
      <c r="N46" s="1393"/>
      <c r="O46" s="1393"/>
      <c r="P46" s="1394"/>
      <c r="Q46" s="1395"/>
    </row>
    <row r="47" spans="1:17" ht="18" x14ac:dyDescent="0.5">
      <c r="B47" s="682"/>
      <c r="C47" s="682"/>
      <c r="D47" s="682"/>
      <c r="E47" s="682"/>
      <c r="F47" s="682"/>
      <c r="G47" s="682"/>
      <c r="H47" s="682"/>
      <c r="I47" s="682"/>
      <c r="J47" s="1392"/>
      <c r="K47" s="1393"/>
      <c r="L47" s="1393"/>
      <c r="M47" s="1393"/>
      <c r="N47" s="1393"/>
      <c r="O47" s="1393"/>
      <c r="P47" s="1394"/>
      <c r="Q47" s="1395"/>
    </row>
    <row r="48" spans="1:17" ht="18" x14ac:dyDescent="0.5">
      <c r="B48" s="682"/>
      <c r="C48" s="682"/>
      <c r="D48" s="682"/>
      <c r="E48" s="682"/>
      <c r="F48" s="682"/>
      <c r="G48" s="682"/>
      <c r="H48" s="682"/>
      <c r="I48" s="682"/>
      <c r="J48" s="1392"/>
      <c r="K48" s="1393"/>
      <c r="L48" s="1393"/>
      <c r="M48" s="1393"/>
      <c r="N48" s="1393"/>
      <c r="O48" s="1393"/>
      <c r="P48" s="1394"/>
      <c r="Q48" s="1395"/>
    </row>
    <row r="49" spans="2:17" ht="18" x14ac:dyDescent="0.5">
      <c r="B49" s="682"/>
      <c r="C49" s="682"/>
      <c r="D49" s="682"/>
      <c r="E49" s="682"/>
      <c r="F49" s="682"/>
      <c r="G49" s="682"/>
      <c r="H49" s="682"/>
      <c r="I49" s="682"/>
      <c r="J49" s="1392"/>
      <c r="K49" s="1393"/>
      <c r="L49" s="1393"/>
      <c r="M49" s="1393"/>
      <c r="N49" s="1393"/>
      <c r="O49" s="1393"/>
      <c r="P49" s="1394"/>
      <c r="Q49" s="1395"/>
    </row>
    <row r="50" spans="2:17" ht="18" x14ac:dyDescent="0.5">
      <c r="B50" s="682"/>
      <c r="C50" s="682"/>
      <c r="D50" s="682"/>
      <c r="E50" s="682"/>
      <c r="F50" s="682"/>
      <c r="G50" s="682"/>
      <c r="H50" s="682"/>
      <c r="I50" s="682"/>
      <c r="J50" s="1392"/>
      <c r="K50" s="1393"/>
      <c r="L50" s="1393"/>
      <c r="M50" s="1393"/>
      <c r="N50" s="1393"/>
      <c r="O50" s="1393"/>
      <c r="P50" s="1394"/>
      <c r="Q50" s="1395"/>
    </row>
    <row r="51" spans="2:17" x14ac:dyDescent="0.4">
      <c r="J51" s="1392"/>
      <c r="K51" s="1393"/>
      <c r="L51" s="1393"/>
      <c r="M51" s="1393"/>
      <c r="N51" s="1393"/>
      <c r="O51" s="1393"/>
      <c r="P51" s="1394"/>
      <c r="Q51" s="1395"/>
    </row>
    <row r="52" spans="2:17" x14ac:dyDescent="0.4">
      <c r="J52" s="1392"/>
      <c r="K52" s="1393"/>
      <c r="L52" s="1393"/>
      <c r="M52" s="1393"/>
      <c r="N52" s="1393"/>
      <c r="O52" s="1393"/>
      <c r="P52" s="1394"/>
      <c r="Q52" s="1395"/>
    </row>
    <row r="53" spans="2:17" x14ac:dyDescent="0.4">
      <c r="J53" s="1392"/>
      <c r="K53" s="1393"/>
      <c r="L53" s="1393"/>
      <c r="M53" s="1393"/>
      <c r="N53" s="1393"/>
      <c r="O53" s="1393"/>
      <c r="P53" s="1394"/>
      <c r="Q53" s="1395"/>
    </row>
    <row r="54" spans="2:17" x14ac:dyDescent="0.4">
      <c r="J54" s="1392"/>
      <c r="K54" s="1393"/>
      <c r="L54" s="1393"/>
      <c r="M54" s="1393"/>
      <c r="N54" s="1393"/>
      <c r="O54" s="1393"/>
      <c r="P54" s="1394"/>
      <c r="Q54" s="1395"/>
    </row>
    <row r="55" spans="2:17" x14ac:dyDescent="0.4">
      <c r="J55" s="1392"/>
      <c r="K55" s="1393"/>
      <c r="L55" s="1393"/>
      <c r="M55" s="1393"/>
      <c r="N55" s="1393"/>
      <c r="O55" s="1393"/>
      <c r="P55" s="1394"/>
      <c r="Q55" s="1395"/>
    </row>
    <row r="56" spans="2:17" x14ac:dyDescent="0.4">
      <c r="J56" s="1392"/>
      <c r="K56" s="1393"/>
      <c r="L56" s="1393"/>
      <c r="M56" s="1393"/>
      <c r="N56" s="1393"/>
      <c r="O56" s="1393"/>
      <c r="P56" s="1394"/>
      <c r="Q56" s="1395"/>
    </row>
    <row r="57" spans="2:17" x14ac:dyDescent="0.4">
      <c r="J57" s="1392"/>
      <c r="K57" s="1393"/>
      <c r="L57" s="1393"/>
      <c r="M57" s="1393"/>
      <c r="N57" s="1393"/>
      <c r="O57" s="1393"/>
      <c r="P57" s="1394"/>
      <c r="Q57" s="1395"/>
    </row>
    <row r="58" spans="2:17" x14ac:dyDescent="0.4">
      <c r="J58" s="1392"/>
      <c r="K58" s="1393"/>
      <c r="L58" s="1393"/>
      <c r="M58" s="1393"/>
      <c r="N58" s="1393"/>
      <c r="O58" s="1393"/>
      <c r="P58" s="1394"/>
      <c r="Q58" s="1395"/>
    </row>
    <row r="59" spans="2:17" x14ac:dyDescent="0.4">
      <c r="J59" s="1392"/>
      <c r="K59" s="1393"/>
      <c r="L59" s="1393"/>
      <c r="M59" s="1393"/>
      <c r="N59" s="1393"/>
      <c r="O59" s="1393"/>
      <c r="P59" s="1394"/>
      <c r="Q59" s="1395"/>
    </row>
    <row r="60" spans="2:17" x14ac:dyDescent="0.4">
      <c r="J60" s="1392"/>
      <c r="K60" s="1393"/>
      <c r="L60" s="1393"/>
      <c r="M60" s="1393"/>
      <c r="N60" s="1393"/>
      <c r="O60" s="1393"/>
      <c r="P60" s="1394"/>
      <c r="Q60" s="1393"/>
    </row>
    <row r="61" spans="2:17" x14ac:dyDescent="0.4">
      <c r="J61" s="1392"/>
      <c r="K61" s="1393"/>
      <c r="L61" s="1393"/>
      <c r="M61" s="1393"/>
      <c r="N61" s="1393"/>
      <c r="O61" s="1393"/>
      <c r="P61" s="1394"/>
      <c r="Q61" s="1393"/>
    </row>
    <row r="62" spans="2:17" x14ac:dyDescent="0.4">
      <c r="J62" s="1392"/>
      <c r="K62" s="1393"/>
      <c r="L62" s="1393"/>
      <c r="M62" s="1393"/>
      <c r="N62" s="1393"/>
      <c r="O62" s="1393"/>
      <c r="P62" s="1394"/>
      <c r="Q62" s="1393"/>
    </row>
    <row r="63" spans="2:17" x14ac:dyDescent="0.4">
      <c r="J63" s="1392"/>
      <c r="K63" s="1393"/>
      <c r="L63" s="1393"/>
      <c r="M63" s="1393"/>
      <c r="N63" s="1393"/>
      <c r="O63" s="1393"/>
      <c r="P63" s="1394"/>
      <c r="Q63" s="1393"/>
    </row>
    <row r="64" spans="2:17" x14ac:dyDescent="0.4">
      <c r="J64" s="1392"/>
      <c r="K64" s="1393"/>
      <c r="L64" s="1393"/>
      <c r="M64" s="1393"/>
      <c r="N64" s="1393"/>
      <c r="O64" s="1393"/>
      <c r="P64" s="1394"/>
      <c r="Q64" s="1393"/>
    </row>
    <row r="65" spans="10:17" x14ac:dyDescent="0.4">
      <c r="J65" s="1392"/>
      <c r="K65" s="1393"/>
      <c r="L65" s="1393"/>
      <c r="M65" s="1393"/>
      <c r="N65" s="1393"/>
      <c r="O65" s="1393"/>
      <c r="P65" s="1394"/>
      <c r="Q65" s="1393"/>
    </row>
    <row r="66" spans="10:17" x14ac:dyDescent="0.4">
      <c r="J66" s="1392"/>
      <c r="K66" s="1393"/>
      <c r="L66" s="1393"/>
      <c r="M66" s="1393"/>
      <c r="N66" s="1393"/>
      <c r="O66" s="1393"/>
      <c r="P66" s="1394"/>
      <c r="Q66" s="1393"/>
    </row>
    <row r="67" spans="10:17" ht="18" x14ac:dyDescent="0.5">
      <c r="J67" s="682"/>
      <c r="K67" s="682"/>
      <c r="L67" s="682"/>
      <c r="M67" s="682"/>
      <c r="N67" s="682"/>
      <c r="O67" s="682"/>
      <c r="P67" s="682"/>
      <c r="Q67" s="682"/>
    </row>
    <row r="68" spans="10:17" ht="18" x14ac:dyDescent="0.5">
      <c r="J68" s="682"/>
      <c r="K68" s="682"/>
      <c r="L68" s="682"/>
      <c r="M68" s="682"/>
      <c r="N68" s="682"/>
      <c r="O68" s="682"/>
      <c r="P68" s="682"/>
      <c r="Q68" s="682"/>
    </row>
    <row r="69" spans="10:17" ht="18" x14ac:dyDescent="0.5">
      <c r="J69" s="682"/>
      <c r="K69" s="682"/>
      <c r="L69" s="682"/>
    </row>
    <row r="70" spans="10:17" ht="18" x14ac:dyDescent="0.5">
      <c r="J70" s="682"/>
      <c r="K70" s="682"/>
      <c r="L70" s="682"/>
    </row>
    <row r="71" spans="10:17" ht="18" x14ac:dyDescent="0.5">
      <c r="J71" s="682"/>
      <c r="K71" s="682"/>
      <c r="L71" s="682"/>
    </row>
    <row r="73" spans="10:17" ht="18" x14ac:dyDescent="0.5">
      <c r="J73" s="682"/>
      <c r="K73" s="682"/>
      <c r="L73" s="682"/>
    </row>
    <row r="77" spans="10:17" ht="30.75" x14ac:dyDescent="0.7">
      <c r="J77" s="682"/>
      <c r="K77" s="683"/>
      <c r="L77" s="683"/>
    </row>
    <row r="78" spans="10:17" ht="30.75" x14ac:dyDescent="0.7">
      <c r="J78" s="682"/>
      <c r="K78" s="683"/>
      <c r="L78" s="684"/>
    </row>
    <row r="79" spans="10:17" ht="30.75" x14ac:dyDescent="0.7">
      <c r="J79" s="682"/>
      <c r="K79" s="683"/>
      <c r="L79" s="683"/>
    </row>
    <row r="80" spans="10:17" ht="30.75" x14ac:dyDescent="0.7">
      <c r="J80" s="682"/>
      <c r="K80" s="683"/>
      <c r="L80" s="684"/>
    </row>
    <row r="81" spans="10:12" ht="30.75" x14ac:dyDescent="0.7">
      <c r="J81" s="682"/>
      <c r="K81" s="683"/>
      <c r="L81" s="683"/>
    </row>
  </sheetData>
  <mergeCells count="6">
    <mergeCell ref="B39:C39"/>
    <mergeCell ref="A1:I1"/>
    <mergeCell ref="H2:I2"/>
    <mergeCell ref="A31:I31"/>
    <mergeCell ref="B37:I37"/>
    <mergeCell ref="B38:I38"/>
  </mergeCells>
  <printOptions horizontalCentered="1" verticalCentered="1"/>
  <pageMargins left="0.78740157480314965" right="0.59055118110236227" top="0.78740157480314965" bottom="0.59055118110236227" header="0" footer="0"/>
  <pageSetup paperSize="9" scale="95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00B050"/>
  </sheetPr>
  <dimension ref="A1:H60"/>
  <sheetViews>
    <sheetView rightToLeft="1" topLeftCell="A25" workbookViewId="0">
      <selection activeCell="E31" sqref="E31"/>
    </sheetView>
  </sheetViews>
  <sheetFormatPr defaultColWidth="23.75" defaultRowHeight="32.25" customHeight="1" x14ac:dyDescent="0.2"/>
  <cols>
    <col min="1" max="3" width="23.75" style="1399"/>
    <col min="4" max="4" width="23.75" style="1400"/>
    <col min="5" max="5" width="23.75" style="1398"/>
    <col min="6" max="6" width="23.75" style="1399"/>
    <col min="7" max="7" width="0" style="1396" hidden="1" customWidth="1"/>
    <col min="8" max="16384" width="23.75" style="1399"/>
  </cols>
  <sheetData>
    <row r="1" spans="1:6" ht="32.25" customHeight="1" x14ac:dyDescent="0.2">
      <c r="A1" s="3389" t="s">
        <v>815</v>
      </c>
      <c r="B1" s="3389"/>
      <c r="C1" s="3389"/>
      <c r="D1" s="3389"/>
      <c r="E1" s="3389"/>
      <c r="F1" s="3389"/>
    </row>
    <row r="2" spans="1:6" ht="32.25" customHeight="1" thickBot="1" x14ac:dyDescent="0.25">
      <c r="A2" s="3390" t="s">
        <v>816</v>
      </c>
      <c r="B2" s="3390"/>
      <c r="C2" s="3390"/>
      <c r="D2" s="3390"/>
      <c r="E2" s="3390"/>
      <c r="F2" s="3390"/>
    </row>
    <row r="3" spans="1:6" ht="32.25" customHeight="1" thickBot="1" x14ac:dyDescent="0.25">
      <c r="A3" s="3391" t="s">
        <v>118</v>
      </c>
      <c r="B3" s="3392"/>
      <c r="C3" s="1622" t="s">
        <v>817</v>
      </c>
      <c r="D3" s="1605" t="s">
        <v>818</v>
      </c>
      <c r="E3" s="1606" t="s">
        <v>782</v>
      </c>
      <c r="F3" s="1607" t="s">
        <v>170</v>
      </c>
    </row>
    <row r="4" spans="1:6" ht="32.25" customHeight="1" x14ac:dyDescent="0.7">
      <c r="A4" s="3393" t="s">
        <v>819</v>
      </c>
      <c r="B4" s="3394"/>
      <c r="C4" s="1623">
        <f>'[7]sheet 1'!$H$2</f>
        <v>22089629046017</v>
      </c>
      <c r="D4" s="1608">
        <v>7120524543930</v>
      </c>
      <c r="E4" s="1609">
        <v>776788780087</v>
      </c>
      <c r="F4" s="1610">
        <f t="shared" ref="F4:F38" si="0">E4+D4+C4</f>
        <v>29986942370034</v>
      </c>
    </row>
    <row r="5" spans="1:6" ht="32.25" customHeight="1" x14ac:dyDescent="0.7">
      <c r="A5" s="3387" t="s">
        <v>820</v>
      </c>
      <c r="B5" s="3388"/>
      <c r="C5" s="1624">
        <v>5090085893775</v>
      </c>
      <c r="D5" s="1611">
        <v>1053053248938</v>
      </c>
      <c r="E5" s="1612">
        <v>107832922435</v>
      </c>
      <c r="F5" s="1613">
        <f t="shared" si="0"/>
        <v>6250972065148</v>
      </c>
    </row>
    <row r="6" spans="1:6" ht="32.25" customHeight="1" x14ac:dyDescent="0.7">
      <c r="A6" s="3387" t="s">
        <v>821</v>
      </c>
      <c r="B6" s="3388"/>
      <c r="C6" s="1624">
        <v>2322510873163</v>
      </c>
      <c r="D6" s="1611">
        <v>845146384111</v>
      </c>
      <c r="E6" s="1612">
        <v>102560534096</v>
      </c>
      <c r="F6" s="1613">
        <f t="shared" si="0"/>
        <v>3270217791370</v>
      </c>
    </row>
    <row r="7" spans="1:6" ht="32.25" customHeight="1" x14ac:dyDescent="0.7">
      <c r="A7" s="3387" t="s">
        <v>822</v>
      </c>
      <c r="B7" s="3388"/>
      <c r="C7" s="1624">
        <f>'[8]sheet 1'!$F$32</f>
        <v>531810200287</v>
      </c>
      <c r="D7" s="1611">
        <v>129332881291</v>
      </c>
      <c r="E7" s="1614"/>
      <c r="F7" s="1613">
        <f t="shared" si="0"/>
        <v>661143081578</v>
      </c>
    </row>
    <row r="8" spans="1:6" ht="32.25" customHeight="1" x14ac:dyDescent="0.7">
      <c r="A8" s="3387" t="s">
        <v>823</v>
      </c>
      <c r="B8" s="3388"/>
      <c r="C8" s="1625">
        <f>'[9]sheet 1'!$E$21</f>
        <v>432588897185</v>
      </c>
      <c r="D8" s="1611">
        <v>81938167960</v>
      </c>
      <c r="E8" s="1612">
        <v>7500000</v>
      </c>
      <c r="F8" s="1613">
        <f t="shared" si="0"/>
        <v>514534565145</v>
      </c>
    </row>
    <row r="9" spans="1:6" ht="32.25" customHeight="1" x14ac:dyDescent="0.7">
      <c r="A9" s="3387" t="s">
        <v>824</v>
      </c>
      <c r="B9" s="3388"/>
      <c r="C9" s="1625">
        <f>'[8]sheet 1'!$G$3</f>
        <v>34603806843316</v>
      </c>
      <c r="D9" s="1611">
        <v>468442792488</v>
      </c>
      <c r="E9" s="1614">
        <v>37234341818</v>
      </c>
      <c r="F9" s="1613">
        <f t="shared" si="0"/>
        <v>35109483977622</v>
      </c>
    </row>
    <row r="10" spans="1:6" ht="32.25" customHeight="1" x14ac:dyDescent="0.7">
      <c r="A10" s="3387" t="s">
        <v>825</v>
      </c>
      <c r="B10" s="3388"/>
      <c r="C10" s="1625">
        <f>'[8]sheet 1'!$G$7</f>
        <v>1097474012044</v>
      </c>
      <c r="D10" s="1611">
        <v>16538039915</v>
      </c>
      <c r="E10" s="1614">
        <v>1173532948</v>
      </c>
      <c r="F10" s="1613">
        <f t="shared" si="0"/>
        <v>1115185584907</v>
      </c>
    </row>
    <row r="11" spans="1:6" ht="32.25" customHeight="1" x14ac:dyDescent="0.7">
      <c r="A11" s="3387" t="s">
        <v>826</v>
      </c>
      <c r="B11" s="3388"/>
      <c r="C11" s="1624">
        <f>'[8]sheet 1'!$F$16</f>
        <v>15138467832</v>
      </c>
      <c r="D11" s="1611">
        <v>21741682419</v>
      </c>
      <c r="E11" s="1612">
        <v>370360857</v>
      </c>
      <c r="F11" s="1613">
        <f t="shared" si="0"/>
        <v>37250511108</v>
      </c>
    </row>
    <row r="12" spans="1:6" ht="32.25" customHeight="1" x14ac:dyDescent="0.7">
      <c r="A12" s="3387" t="s">
        <v>827</v>
      </c>
      <c r="B12" s="3388"/>
      <c r="C12" s="1625">
        <f>'[8]sheet 1'!$F$8</f>
        <v>1313849233616</v>
      </c>
      <c r="D12" s="1611">
        <v>174589426404</v>
      </c>
      <c r="E12" s="1614">
        <v>16538039915</v>
      </c>
      <c r="F12" s="1613">
        <f t="shared" si="0"/>
        <v>1504976699935</v>
      </c>
    </row>
    <row r="13" spans="1:6" ht="32.25" customHeight="1" x14ac:dyDescent="0.7">
      <c r="A13" s="3387" t="s">
        <v>828</v>
      </c>
      <c r="B13" s="3388"/>
      <c r="C13" s="1624">
        <f>'[8]sheet 1'!$F$17</f>
        <v>31180689205</v>
      </c>
      <c r="D13" s="1611">
        <v>21244362703</v>
      </c>
      <c r="E13" s="1614"/>
      <c r="F13" s="1613">
        <f t="shared" si="0"/>
        <v>52425051908</v>
      </c>
    </row>
    <row r="14" spans="1:6" ht="32.25" customHeight="1" x14ac:dyDescent="0.7">
      <c r="A14" s="3387" t="s">
        <v>829</v>
      </c>
      <c r="B14" s="3388"/>
      <c r="C14" s="1624">
        <v>461590010</v>
      </c>
      <c r="D14" s="1611">
        <v>9869139534</v>
      </c>
      <c r="E14" s="1614"/>
      <c r="F14" s="1613">
        <f t="shared" si="0"/>
        <v>10330729544</v>
      </c>
    </row>
    <row r="15" spans="1:6" ht="32.25" customHeight="1" x14ac:dyDescent="0.7">
      <c r="A15" s="3387" t="s">
        <v>830</v>
      </c>
      <c r="B15" s="3388"/>
      <c r="C15" s="1624">
        <v>139143706954</v>
      </c>
      <c r="D15" s="1611">
        <v>3471629223321</v>
      </c>
      <c r="E15" s="1614"/>
      <c r="F15" s="1613">
        <f t="shared" si="0"/>
        <v>3610772930275</v>
      </c>
    </row>
    <row r="16" spans="1:6" ht="32.25" customHeight="1" x14ac:dyDescent="0.7">
      <c r="A16" s="3387" t="s">
        <v>831</v>
      </c>
      <c r="B16" s="3388"/>
      <c r="C16" s="1624">
        <f>'[8]sheet 1'!$F$23</f>
        <v>73151366424</v>
      </c>
      <c r="D16" s="1611">
        <v>134731247279</v>
      </c>
      <c r="E16" s="1612">
        <v>1341500000</v>
      </c>
      <c r="F16" s="1613">
        <f t="shared" si="0"/>
        <v>209224113703</v>
      </c>
    </row>
    <row r="17" spans="1:6" ht="32.25" customHeight="1" x14ac:dyDescent="0.7">
      <c r="A17" s="3387" t="s">
        <v>832</v>
      </c>
      <c r="B17" s="3388"/>
      <c r="C17" s="1625"/>
      <c r="D17" s="1611">
        <v>753793168261</v>
      </c>
      <c r="E17" s="1614"/>
      <c r="F17" s="1613">
        <f t="shared" si="0"/>
        <v>753793168261</v>
      </c>
    </row>
    <row r="18" spans="1:6" ht="32.25" customHeight="1" x14ac:dyDescent="0.7">
      <c r="A18" s="3387" t="s">
        <v>833</v>
      </c>
      <c r="B18" s="3388"/>
      <c r="C18" s="1615">
        <v>94112464132066</v>
      </c>
      <c r="D18" s="1611">
        <v>24198288416159</v>
      </c>
      <c r="E18" s="1612">
        <v>1440006182021</v>
      </c>
      <c r="F18" s="1613">
        <f t="shared" si="0"/>
        <v>119750758730246</v>
      </c>
    </row>
    <row r="19" spans="1:6" ht="32.25" customHeight="1" x14ac:dyDescent="0.7">
      <c r="A19" s="3387" t="s">
        <v>834</v>
      </c>
      <c r="B19" s="3388"/>
      <c r="C19" s="1625"/>
      <c r="D19" s="1611">
        <v>79154000000</v>
      </c>
      <c r="E19" s="1614"/>
      <c r="F19" s="1613">
        <f t="shared" si="0"/>
        <v>79154000000</v>
      </c>
    </row>
    <row r="20" spans="1:6" ht="32.25" customHeight="1" x14ac:dyDescent="0.7">
      <c r="A20" s="3387" t="s">
        <v>835</v>
      </c>
      <c r="B20" s="3388"/>
      <c r="C20" s="1625"/>
      <c r="D20" s="1611">
        <v>0</v>
      </c>
      <c r="E20" s="1614"/>
      <c r="F20" s="1613">
        <f t="shared" si="0"/>
        <v>0</v>
      </c>
    </row>
    <row r="21" spans="1:6" ht="32.25" customHeight="1" x14ac:dyDescent="0.7">
      <c r="A21" s="3387" t="s">
        <v>836</v>
      </c>
      <c r="B21" s="3388"/>
      <c r="C21" s="1625"/>
      <c r="D21" s="1611">
        <v>1000190511979</v>
      </c>
      <c r="E21" s="1614"/>
      <c r="F21" s="1613">
        <f t="shared" si="0"/>
        <v>1000190511979</v>
      </c>
    </row>
    <row r="22" spans="1:6" ht="32.25" customHeight="1" x14ac:dyDescent="0.7">
      <c r="A22" s="3387" t="s">
        <v>837</v>
      </c>
      <c r="B22" s="3388"/>
      <c r="C22" s="1625">
        <f>'[9]sheet 1'!$E$5</f>
        <v>2145175153928</v>
      </c>
      <c r="D22" s="1611">
        <v>0</v>
      </c>
      <c r="E22" s="1612"/>
      <c r="F22" s="1613">
        <f t="shared" si="0"/>
        <v>2145175153928</v>
      </c>
    </row>
    <row r="23" spans="1:6" ht="32.25" customHeight="1" x14ac:dyDescent="0.7">
      <c r="A23" s="3387" t="s">
        <v>838</v>
      </c>
      <c r="B23" s="3388"/>
      <c r="C23" s="1625"/>
      <c r="D23" s="1611">
        <v>0</v>
      </c>
      <c r="E23" s="1612">
        <v>56119294000</v>
      </c>
      <c r="F23" s="1613">
        <f t="shared" si="0"/>
        <v>56119294000</v>
      </c>
    </row>
    <row r="24" spans="1:6" ht="32.25" customHeight="1" x14ac:dyDescent="0.7">
      <c r="A24" s="3387" t="s">
        <v>839</v>
      </c>
      <c r="B24" s="3388"/>
      <c r="C24" s="1624">
        <f>'[8]sheet 1'!$F$11</f>
        <v>301941715510</v>
      </c>
      <c r="D24" s="1611">
        <v>0</v>
      </c>
      <c r="E24" s="1614"/>
      <c r="F24" s="1613">
        <f t="shared" si="0"/>
        <v>301941715510</v>
      </c>
    </row>
    <row r="25" spans="1:6" ht="32.25" customHeight="1" x14ac:dyDescent="0.7">
      <c r="A25" s="3387" t="s">
        <v>840</v>
      </c>
      <c r="B25" s="3388"/>
      <c r="C25" s="1624">
        <f>'[9]sheet 1'!$E$3</f>
        <v>233855003272</v>
      </c>
      <c r="D25" s="1611">
        <v>2395000</v>
      </c>
      <c r="E25" s="1614"/>
      <c r="F25" s="1613">
        <f t="shared" si="0"/>
        <v>233857398272</v>
      </c>
    </row>
    <row r="26" spans="1:6" ht="32.25" customHeight="1" x14ac:dyDescent="0.7">
      <c r="A26" s="3387" t="s">
        <v>841</v>
      </c>
      <c r="B26" s="3388"/>
      <c r="C26" s="1624">
        <f>'[8]sheet 1'!$G$5</f>
        <v>2320760380037</v>
      </c>
      <c r="D26" s="1611">
        <v>630968180684</v>
      </c>
      <c r="E26" s="1612">
        <v>164312889</v>
      </c>
      <c r="F26" s="1613">
        <f t="shared" si="0"/>
        <v>2951892873610</v>
      </c>
    </row>
    <row r="27" spans="1:6" ht="32.25" customHeight="1" x14ac:dyDescent="0.7">
      <c r="A27" s="3387" t="s">
        <v>842</v>
      </c>
      <c r="B27" s="3388"/>
      <c r="C27" s="1624">
        <f>'[8]sheet 1'!$F$20</f>
        <v>4264387516</v>
      </c>
      <c r="D27" s="1611">
        <v>36206946710</v>
      </c>
      <c r="E27" s="1614"/>
      <c r="F27" s="1613">
        <f t="shared" si="0"/>
        <v>40471334226</v>
      </c>
    </row>
    <row r="28" spans="1:6" ht="32.25" customHeight="1" x14ac:dyDescent="0.7">
      <c r="A28" s="3387" t="s">
        <v>843</v>
      </c>
      <c r="B28" s="3388"/>
      <c r="C28" s="1624">
        <f>'[8]sheet 1'!$F$13</f>
        <v>7494046092</v>
      </c>
      <c r="D28" s="1611">
        <v>61216295927</v>
      </c>
      <c r="E28" s="1614"/>
      <c r="F28" s="1613">
        <f t="shared" si="0"/>
        <v>68710342019</v>
      </c>
    </row>
    <row r="29" spans="1:6" ht="32.25" customHeight="1" x14ac:dyDescent="0.7">
      <c r="A29" s="3387" t="s">
        <v>844</v>
      </c>
      <c r="B29" s="3388"/>
      <c r="C29" s="1624">
        <f>'[8]sheet 1'!$F$28</f>
        <v>73780868483</v>
      </c>
      <c r="D29" s="1611">
        <v>54817948549</v>
      </c>
      <c r="E29" s="1614"/>
      <c r="F29" s="1613">
        <f t="shared" si="0"/>
        <v>128598817032</v>
      </c>
    </row>
    <row r="30" spans="1:6" ht="32.25" customHeight="1" x14ac:dyDescent="0.7">
      <c r="A30" s="3387" t="s">
        <v>845</v>
      </c>
      <c r="B30" s="3388"/>
      <c r="C30" s="1624">
        <f>'[8]sheet 1'!$F$22</f>
        <v>54244919757</v>
      </c>
      <c r="D30" s="1611">
        <v>-5711625172</v>
      </c>
      <c r="E30" s="1612">
        <v>14261724852</v>
      </c>
      <c r="F30" s="1613">
        <f t="shared" si="0"/>
        <v>62795019437</v>
      </c>
    </row>
    <row r="31" spans="1:6" ht="32.25" customHeight="1" x14ac:dyDescent="0.7">
      <c r="A31" s="3387" t="s">
        <v>846</v>
      </c>
      <c r="B31" s="3388"/>
      <c r="C31" s="1625"/>
      <c r="D31" s="1611">
        <v>10000000</v>
      </c>
      <c r="E31" s="1614"/>
      <c r="F31" s="1613">
        <f t="shared" si="0"/>
        <v>10000000</v>
      </c>
    </row>
    <row r="32" spans="1:6" ht="32.25" customHeight="1" x14ac:dyDescent="0.7">
      <c r="A32" s="3387" t="s">
        <v>847</v>
      </c>
      <c r="B32" s="3388"/>
      <c r="C32" s="1625">
        <f>'[8]sheet 1'!$G$26</f>
        <v>195831285661</v>
      </c>
      <c r="D32" s="1611">
        <v>3284758358049</v>
      </c>
      <c r="E32" s="1614">
        <v>44474071440</v>
      </c>
      <c r="F32" s="1613">
        <f t="shared" si="0"/>
        <v>3525063715150</v>
      </c>
    </row>
    <row r="33" spans="1:8" s="1398" customFormat="1" ht="32.25" customHeight="1" x14ac:dyDescent="0.7">
      <c r="A33" s="3387" t="s">
        <v>848</v>
      </c>
      <c r="B33" s="3388"/>
      <c r="C33" s="1626"/>
      <c r="D33" s="1611">
        <v>404661658224</v>
      </c>
      <c r="E33" s="1614"/>
      <c r="F33" s="1613">
        <f t="shared" si="0"/>
        <v>404661658224</v>
      </c>
      <c r="G33" s="1397"/>
    </row>
    <row r="34" spans="1:8" ht="32.25" customHeight="1" x14ac:dyDescent="0.7">
      <c r="A34" s="3387" t="s">
        <v>849</v>
      </c>
      <c r="B34" s="3388"/>
      <c r="C34" s="1625"/>
      <c r="D34" s="1611">
        <v>237531759593</v>
      </c>
      <c r="E34" s="1614">
        <v>20467245504</v>
      </c>
      <c r="F34" s="1613">
        <f t="shared" si="0"/>
        <v>257999005097</v>
      </c>
    </row>
    <row r="35" spans="1:8" ht="32.25" customHeight="1" x14ac:dyDescent="0.7">
      <c r="A35" s="3387" t="s">
        <v>850</v>
      </c>
      <c r="B35" s="3388"/>
      <c r="C35" s="1624">
        <v>2506269283332</v>
      </c>
      <c r="D35" s="1611">
        <v>0</v>
      </c>
      <c r="E35" s="1614"/>
      <c r="F35" s="1613">
        <f t="shared" si="0"/>
        <v>2506269283332</v>
      </c>
      <c r="G35" s="1396">
        <v>38463000000</v>
      </c>
    </row>
    <row r="36" spans="1:8" ht="32.25" customHeight="1" x14ac:dyDescent="0.7">
      <c r="A36" s="3387" t="s">
        <v>851</v>
      </c>
      <c r="B36" s="3388"/>
      <c r="C36" s="1624">
        <f>'[9]sheet 1'!$E$37</f>
        <v>12987487128791</v>
      </c>
      <c r="D36" s="1611">
        <v>788857958201</v>
      </c>
      <c r="E36" s="1612">
        <v>33075839990</v>
      </c>
      <c r="F36" s="1613">
        <f t="shared" si="0"/>
        <v>13809420926982</v>
      </c>
    </row>
    <row r="37" spans="1:8" ht="32.25" customHeight="1" x14ac:dyDescent="0.7">
      <c r="A37" s="3379" t="s">
        <v>852</v>
      </c>
      <c r="B37" s="3380"/>
      <c r="C37" s="1624">
        <v>2000000000000</v>
      </c>
      <c r="D37" s="1611">
        <v>0</v>
      </c>
      <c r="E37" s="1614"/>
      <c r="F37" s="1613">
        <f t="shared" si="0"/>
        <v>2000000000000</v>
      </c>
    </row>
    <row r="38" spans="1:8" ht="32.25" customHeight="1" thickBot="1" x14ac:dyDescent="0.75">
      <c r="A38" s="3381" t="s">
        <v>853</v>
      </c>
      <c r="B38" s="3382"/>
      <c r="C38" s="1627"/>
      <c r="D38" s="1616">
        <v>423274331472</v>
      </c>
      <c r="E38" s="1617">
        <v>1103250031443</v>
      </c>
      <c r="F38" s="1618">
        <f t="shared" si="0"/>
        <v>1526524362915</v>
      </c>
      <c r="H38" s="1396"/>
    </row>
    <row r="39" spans="1:8" ht="32.25" customHeight="1" thickBot="1" x14ac:dyDescent="0.25">
      <c r="A39" s="3383" t="s">
        <v>170</v>
      </c>
      <c r="B39" s="3384"/>
      <c r="C39" s="1628">
        <f>SUM(C4:C38)</f>
        <v>184684399124273</v>
      </c>
      <c r="D39" s="1619">
        <f>SUM(D4:D38)</f>
        <v>45496801443929</v>
      </c>
      <c r="E39" s="1620">
        <f>SUM(E4:E38)</f>
        <v>3755666214295</v>
      </c>
      <c r="F39" s="1621">
        <f>SUM(F4:F38)</f>
        <v>233936866782497</v>
      </c>
    </row>
    <row r="40" spans="1:8" ht="32.25" customHeight="1" x14ac:dyDescent="0.2">
      <c r="A40" s="3360" t="s">
        <v>854</v>
      </c>
      <c r="B40" s="3360"/>
      <c r="C40" s="3360"/>
      <c r="D40" s="3360"/>
      <c r="E40" s="3360"/>
      <c r="F40" s="3360"/>
    </row>
    <row r="41" spans="1:8" ht="32.25" customHeight="1" x14ac:dyDescent="0.2">
      <c r="A41" s="3360"/>
      <c r="B41" s="3360"/>
      <c r="C41" s="3360"/>
      <c r="D41" s="3360"/>
      <c r="E41" s="3360"/>
      <c r="F41" s="3360"/>
    </row>
    <row r="42" spans="1:8" ht="32.25" customHeight="1" x14ac:dyDescent="0.7">
      <c r="A42" s="1601"/>
      <c r="B42" s="1601"/>
      <c r="C42" s="1602"/>
      <c r="D42" s="1603"/>
      <c r="E42" s="1603"/>
      <c r="F42" s="1602"/>
    </row>
    <row r="43" spans="1:8" ht="32.25" customHeight="1" x14ac:dyDescent="0.7">
      <c r="A43" s="1601"/>
      <c r="B43" s="3385" t="s">
        <v>855</v>
      </c>
      <c r="C43" s="3385"/>
      <c r="D43" s="3385"/>
      <c r="E43" s="3385"/>
      <c r="F43" s="1602"/>
    </row>
    <row r="44" spans="1:8" ht="32.25" customHeight="1" thickBot="1" x14ac:dyDescent="0.75">
      <c r="A44" s="1601"/>
      <c r="B44" s="3386" t="s">
        <v>816</v>
      </c>
      <c r="C44" s="3386"/>
      <c r="D44" s="3386"/>
      <c r="E44" s="3386"/>
      <c r="F44" s="1602"/>
    </row>
    <row r="45" spans="1:8" ht="32.25" customHeight="1" thickBot="1" x14ac:dyDescent="0.75">
      <c r="A45" s="1601"/>
      <c r="B45" s="3365" t="s">
        <v>118</v>
      </c>
      <c r="C45" s="3366"/>
      <c r="D45" s="3373" t="s">
        <v>856</v>
      </c>
      <c r="E45" s="3374"/>
      <c r="F45" s="1602"/>
    </row>
    <row r="46" spans="1:8" ht="32.25" customHeight="1" x14ac:dyDescent="0.7">
      <c r="A46" s="1601"/>
      <c r="B46" s="3375" t="s">
        <v>857</v>
      </c>
      <c r="C46" s="3376"/>
      <c r="D46" s="3377">
        <f>C39-C36</f>
        <v>171696911995482</v>
      </c>
      <c r="E46" s="3378"/>
      <c r="F46" s="1604"/>
    </row>
    <row r="47" spans="1:8" ht="32.25" customHeight="1" x14ac:dyDescent="0.7">
      <c r="A47" s="1601"/>
      <c r="B47" s="3369" t="s">
        <v>858</v>
      </c>
      <c r="C47" s="3370"/>
      <c r="D47" s="3371">
        <f>D39-D36-D33-G35</f>
        <v>44264818827504</v>
      </c>
      <c r="E47" s="3372"/>
      <c r="F47" s="1604"/>
    </row>
    <row r="48" spans="1:8" ht="32.25" customHeight="1" x14ac:dyDescent="0.7">
      <c r="A48" s="1601"/>
      <c r="B48" s="3369" t="s">
        <v>859</v>
      </c>
      <c r="C48" s="3370"/>
      <c r="D48" s="3371">
        <f>E39-E36</f>
        <v>3722590374305</v>
      </c>
      <c r="E48" s="3372"/>
      <c r="F48" s="1604"/>
    </row>
    <row r="49" spans="1:6" ht="32.25" customHeight="1" x14ac:dyDescent="0.7">
      <c r="A49" s="1601"/>
      <c r="B49" s="3369" t="s">
        <v>783</v>
      </c>
      <c r="C49" s="3370"/>
      <c r="D49" s="3371">
        <v>38463000000</v>
      </c>
      <c r="E49" s="3372"/>
      <c r="F49" s="1604"/>
    </row>
    <row r="50" spans="1:6" ht="32.25" customHeight="1" x14ac:dyDescent="0.7">
      <c r="A50" s="1601"/>
      <c r="B50" s="3369" t="s">
        <v>860</v>
      </c>
      <c r="C50" s="3370"/>
      <c r="D50" s="3371">
        <f>F36</f>
        <v>13809420926982</v>
      </c>
      <c r="E50" s="3372"/>
      <c r="F50" s="1604"/>
    </row>
    <row r="51" spans="1:6" ht="32.25" customHeight="1" thickBot="1" x14ac:dyDescent="0.75">
      <c r="A51" s="1601"/>
      <c r="B51" s="3361" t="s">
        <v>861</v>
      </c>
      <c r="C51" s="3362"/>
      <c r="D51" s="3363">
        <f>D33</f>
        <v>404661658224</v>
      </c>
      <c r="E51" s="3364"/>
      <c r="F51" s="1604"/>
    </row>
    <row r="52" spans="1:6" ht="32.25" customHeight="1" thickBot="1" x14ac:dyDescent="0.75">
      <c r="A52" s="1601"/>
      <c r="B52" s="3365" t="s">
        <v>170</v>
      </c>
      <c r="C52" s="3366"/>
      <c r="D52" s="3367">
        <f>SUM(D46:E51)</f>
        <v>233936866782497</v>
      </c>
      <c r="E52" s="3368"/>
      <c r="F52" s="1602"/>
    </row>
    <row r="53" spans="1:6" ht="53.25" customHeight="1" x14ac:dyDescent="0.2">
      <c r="B53" s="3359" t="s">
        <v>862</v>
      </c>
      <c r="C53" s="3359"/>
      <c r="D53" s="3359"/>
      <c r="E53" s="3359"/>
      <c r="F53" s="1629"/>
    </row>
    <row r="54" spans="1:6" ht="32.25" customHeight="1" x14ac:dyDescent="0.7">
      <c r="B54" s="1631" t="s">
        <v>863</v>
      </c>
      <c r="C54" s="1630"/>
      <c r="D54" s="1630"/>
      <c r="E54" s="1630"/>
      <c r="F54" s="1630"/>
    </row>
    <row r="60" spans="1:6" ht="32.25" customHeight="1" x14ac:dyDescent="0.2">
      <c r="E60" s="1398">
        <v>233936866782497</v>
      </c>
    </row>
  </sheetData>
  <mergeCells count="60">
    <mergeCell ref="A12:B12"/>
    <mergeCell ref="A1:F1"/>
    <mergeCell ref="A2:F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B47:C47"/>
    <mergeCell ref="D47:E47"/>
    <mergeCell ref="A37:B37"/>
    <mergeCell ref="A38:B38"/>
    <mergeCell ref="A39:B39"/>
    <mergeCell ref="A41:F41"/>
    <mergeCell ref="B43:E43"/>
    <mergeCell ref="B44:E44"/>
    <mergeCell ref="B53:E53"/>
    <mergeCell ref="A40:F40"/>
    <mergeCell ref="B51:C51"/>
    <mergeCell ref="D51:E51"/>
    <mergeCell ref="B52:C52"/>
    <mergeCell ref="D52:E52"/>
    <mergeCell ref="B48:C48"/>
    <mergeCell ref="D48:E48"/>
    <mergeCell ref="B49:C49"/>
    <mergeCell ref="D49:E49"/>
    <mergeCell ref="B50:C50"/>
    <mergeCell ref="D50:E50"/>
    <mergeCell ref="B45:C45"/>
    <mergeCell ref="D45:E45"/>
    <mergeCell ref="B46:C46"/>
    <mergeCell ref="D46:E4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O63"/>
  <sheetViews>
    <sheetView rightToLeft="1" zoomScale="118" zoomScaleNormal="118" workbookViewId="0">
      <pane xSplit="2" ySplit="3" topLeftCell="C45" activePane="bottomRight" state="frozen"/>
      <selection activeCell="C20" sqref="C20"/>
      <selection pane="topRight" activeCell="C20" sqref="C20"/>
      <selection pane="bottomLeft" activeCell="C20" sqref="C20"/>
      <selection pane="bottomRight" activeCell="C20" sqref="C20"/>
    </sheetView>
  </sheetViews>
  <sheetFormatPr defaultColWidth="7" defaultRowHeight="15.75" x14ac:dyDescent="0.4"/>
  <cols>
    <col min="1" max="1" width="11.375" style="141" bestFit="1" customWidth="1"/>
    <col min="2" max="2" width="7.375" style="141" bestFit="1" customWidth="1"/>
    <col min="3" max="3" width="12.25" style="141" bestFit="1" customWidth="1"/>
    <col min="4" max="4" width="10.875" style="141" bestFit="1" customWidth="1"/>
    <col min="5" max="6" width="12.25" style="141" bestFit="1" customWidth="1"/>
    <col min="7" max="7" width="11.875" style="141" customWidth="1"/>
    <col min="8" max="8" width="12.25" style="141" bestFit="1" customWidth="1"/>
    <col min="9" max="9" width="9.375" style="141" customWidth="1"/>
    <col min="10" max="10" width="12.375" style="141" customWidth="1"/>
    <col min="11" max="11" width="14.25" style="141" bestFit="1" customWidth="1"/>
    <col min="12" max="12" width="9.375" style="141" bestFit="1" customWidth="1"/>
    <col min="13" max="13" width="10.75" style="141" customWidth="1"/>
    <col min="14" max="16384" width="7" style="141"/>
  </cols>
  <sheetData>
    <row r="1" spans="1:11" s="140" customFormat="1" ht="30.75" customHeight="1" thickBot="1" x14ac:dyDescent="0.25">
      <c r="A1" s="2764" t="s">
        <v>412</v>
      </c>
      <c r="B1" s="2764"/>
      <c r="C1" s="2764"/>
      <c r="D1" s="2764"/>
      <c r="E1" s="2764"/>
      <c r="F1" s="2764"/>
      <c r="G1" s="2764"/>
      <c r="H1" s="2764"/>
      <c r="I1" s="2764"/>
    </row>
    <row r="2" spans="1:11" ht="23.25" customHeight="1" x14ac:dyDescent="0.4">
      <c r="A2" s="2765" t="s">
        <v>118</v>
      </c>
      <c r="B2" s="2766"/>
      <c r="C2" s="2765">
        <v>1402</v>
      </c>
      <c r="D2" s="2769"/>
      <c r="E2" s="2770"/>
      <c r="F2" s="2765">
        <v>1403</v>
      </c>
      <c r="G2" s="2769"/>
      <c r="H2" s="2770"/>
      <c r="I2" s="2771" t="s">
        <v>413</v>
      </c>
    </row>
    <row r="3" spans="1:11" ht="23.25" customHeight="1" thickBot="1" x14ac:dyDescent="0.45">
      <c r="A3" s="2767"/>
      <c r="B3" s="2768"/>
      <c r="C3" s="142" t="s">
        <v>408</v>
      </c>
      <c r="D3" s="143" t="s">
        <v>407</v>
      </c>
      <c r="E3" s="144" t="s">
        <v>170</v>
      </c>
      <c r="F3" s="142" t="s">
        <v>408</v>
      </c>
      <c r="G3" s="143" t="s">
        <v>407</v>
      </c>
      <c r="H3" s="144" t="s">
        <v>170</v>
      </c>
      <c r="I3" s="2772"/>
    </row>
    <row r="4" spans="1:11" ht="16.5" customHeight="1" x14ac:dyDescent="0.4">
      <c r="A4" s="2757" t="s">
        <v>414</v>
      </c>
      <c r="B4" s="145" t="s">
        <v>415</v>
      </c>
      <c r="C4" s="146">
        <v>0</v>
      </c>
      <c r="D4" s="147">
        <v>0</v>
      </c>
      <c r="E4" s="148">
        <f>SUM(C4:D4)</f>
        <v>0</v>
      </c>
      <c r="F4" s="146">
        <v>0</v>
      </c>
      <c r="G4" s="147">
        <v>0</v>
      </c>
      <c r="H4" s="148">
        <f>SUM(F4:G4)</f>
        <v>0</v>
      </c>
      <c r="I4" s="149" t="str">
        <f>IFERROR((H4/E4-1),"-")</f>
        <v>-</v>
      </c>
      <c r="K4" s="150"/>
    </row>
    <row r="5" spans="1:11" ht="16.5" customHeight="1" x14ac:dyDescent="0.4">
      <c r="A5" s="2758"/>
      <c r="B5" s="151" t="s">
        <v>410</v>
      </c>
      <c r="C5" s="152">
        <v>0</v>
      </c>
      <c r="D5" s="153">
        <v>0</v>
      </c>
      <c r="E5" s="154">
        <f t="shared" ref="E5:E39" si="0">SUM(C5:D5)</f>
        <v>0</v>
      </c>
      <c r="F5" s="152">
        <v>0</v>
      </c>
      <c r="G5" s="153">
        <v>0</v>
      </c>
      <c r="H5" s="154">
        <f t="shared" ref="H5:H39" si="1">SUM(F5:G5)</f>
        <v>0</v>
      </c>
      <c r="I5" s="155" t="str">
        <f t="shared" ref="I5:I42" si="2">IFERROR((H5/E5-1),"-")</f>
        <v>-</v>
      </c>
      <c r="K5" s="150"/>
    </row>
    <row r="6" spans="1:11" ht="16.5" customHeight="1" thickBot="1" x14ac:dyDescent="0.45">
      <c r="A6" s="2759"/>
      <c r="B6" s="156" t="s">
        <v>220</v>
      </c>
      <c r="C6" s="157">
        <v>0</v>
      </c>
      <c r="D6" s="158">
        <v>0</v>
      </c>
      <c r="E6" s="159">
        <f t="shared" si="0"/>
        <v>0</v>
      </c>
      <c r="F6" s="157">
        <v>0</v>
      </c>
      <c r="G6" s="158">
        <v>0</v>
      </c>
      <c r="H6" s="159">
        <f t="shared" si="1"/>
        <v>0</v>
      </c>
      <c r="I6" s="160" t="str">
        <f t="shared" si="2"/>
        <v>-</v>
      </c>
    </row>
    <row r="7" spans="1:11" ht="16.5" customHeight="1" x14ac:dyDescent="0.4">
      <c r="A7" s="2757" t="s">
        <v>241</v>
      </c>
      <c r="B7" s="145" t="s">
        <v>415</v>
      </c>
      <c r="C7" s="161">
        <v>25</v>
      </c>
      <c r="D7" s="162">
        <v>0</v>
      </c>
      <c r="E7" s="148">
        <f t="shared" si="0"/>
        <v>25</v>
      </c>
      <c r="F7" s="161">
        <v>57</v>
      </c>
      <c r="G7" s="162">
        <v>0</v>
      </c>
      <c r="H7" s="148">
        <f t="shared" si="1"/>
        <v>57</v>
      </c>
      <c r="I7" s="149">
        <f t="shared" si="2"/>
        <v>1.2799999999999998</v>
      </c>
    </row>
    <row r="8" spans="1:11" ht="16.5" customHeight="1" x14ac:dyDescent="0.4">
      <c r="A8" s="2758"/>
      <c r="B8" s="151" t="s">
        <v>410</v>
      </c>
      <c r="C8" s="163">
        <v>176</v>
      </c>
      <c r="D8" s="164">
        <v>0</v>
      </c>
      <c r="E8" s="154">
        <f t="shared" si="0"/>
        <v>176</v>
      </c>
      <c r="F8" s="163">
        <v>448</v>
      </c>
      <c r="G8" s="164">
        <v>0</v>
      </c>
      <c r="H8" s="154">
        <f t="shared" si="1"/>
        <v>448</v>
      </c>
      <c r="I8" s="155">
        <f t="shared" si="2"/>
        <v>1.5454545454545454</v>
      </c>
    </row>
    <row r="9" spans="1:11" ht="16.5" customHeight="1" thickBot="1" x14ac:dyDescent="0.45">
      <c r="A9" s="2759"/>
      <c r="B9" s="156" t="s">
        <v>220</v>
      </c>
      <c r="C9" s="165">
        <v>279400</v>
      </c>
      <c r="D9" s="166">
        <v>0</v>
      </c>
      <c r="E9" s="159">
        <f t="shared" si="0"/>
        <v>279400</v>
      </c>
      <c r="F9" s="165">
        <v>690825</v>
      </c>
      <c r="G9" s="166">
        <v>0</v>
      </c>
      <c r="H9" s="159">
        <f t="shared" si="1"/>
        <v>690825</v>
      </c>
      <c r="I9" s="160">
        <f t="shared" si="2"/>
        <v>1.472530422333572</v>
      </c>
    </row>
    <row r="10" spans="1:11" ht="16.5" customHeight="1" x14ac:dyDescent="0.4">
      <c r="A10" s="2757" t="s">
        <v>253</v>
      </c>
      <c r="B10" s="145" t="s">
        <v>415</v>
      </c>
      <c r="C10" s="161">
        <v>16342</v>
      </c>
      <c r="D10" s="162">
        <v>86</v>
      </c>
      <c r="E10" s="148">
        <f t="shared" si="0"/>
        <v>16428</v>
      </c>
      <c r="F10" s="161">
        <v>16558</v>
      </c>
      <c r="G10" s="162">
        <v>559</v>
      </c>
      <c r="H10" s="148">
        <f t="shared" si="1"/>
        <v>17117</v>
      </c>
      <c r="I10" s="167">
        <f t="shared" si="2"/>
        <v>4.1940589237886572E-2</v>
      </c>
    </row>
    <row r="11" spans="1:11" ht="16.5" customHeight="1" x14ac:dyDescent="0.4">
      <c r="A11" s="2758"/>
      <c r="B11" s="151" t="s">
        <v>410</v>
      </c>
      <c r="C11" s="163">
        <v>1039241</v>
      </c>
      <c r="D11" s="164">
        <v>5135</v>
      </c>
      <c r="E11" s="154">
        <f t="shared" si="0"/>
        <v>1044376</v>
      </c>
      <c r="F11" s="163">
        <v>1071405</v>
      </c>
      <c r="G11" s="164">
        <v>35003</v>
      </c>
      <c r="H11" s="154">
        <f t="shared" si="1"/>
        <v>1106408</v>
      </c>
      <c r="I11" s="168">
        <f t="shared" si="2"/>
        <v>5.939623277440309E-2</v>
      </c>
      <c r="J11" s="150"/>
    </row>
    <row r="12" spans="1:11" ht="16.5" customHeight="1" thickBot="1" x14ac:dyDescent="0.45">
      <c r="A12" s="2759"/>
      <c r="B12" s="156" t="s">
        <v>220</v>
      </c>
      <c r="C12" s="165">
        <v>240514524</v>
      </c>
      <c r="D12" s="166">
        <v>781641</v>
      </c>
      <c r="E12" s="159">
        <f t="shared" si="0"/>
        <v>241296165</v>
      </c>
      <c r="F12" s="165">
        <v>245700024</v>
      </c>
      <c r="G12" s="166">
        <v>5392214</v>
      </c>
      <c r="H12" s="159">
        <f t="shared" si="1"/>
        <v>251092238</v>
      </c>
      <c r="I12" s="169">
        <f t="shared" si="2"/>
        <v>4.0597715260000111E-2</v>
      </c>
      <c r="J12" s="150"/>
    </row>
    <row r="13" spans="1:11" ht="16.5" customHeight="1" x14ac:dyDescent="0.4">
      <c r="A13" s="2757" t="s">
        <v>416</v>
      </c>
      <c r="B13" s="145" t="s">
        <v>415</v>
      </c>
      <c r="C13" s="161">
        <v>4049</v>
      </c>
      <c r="D13" s="162">
        <v>19</v>
      </c>
      <c r="E13" s="148">
        <f t="shared" si="0"/>
        <v>4068</v>
      </c>
      <c r="F13" s="161">
        <v>8586</v>
      </c>
      <c r="G13" s="162">
        <v>223</v>
      </c>
      <c r="H13" s="148">
        <f t="shared" si="1"/>
        <v>8809</v>
      </c>
      <c r="I13" s="167">
        <f t="shared" si="2"/>
        <v>1.1654375614552608</v>
      </c>
      <c r="J13" s="150">
        <f>+H13-7774</f>
        <v>1035</v>
      </c>
    </row>
    <row r="14" spans="1:11" ht="16.5" customHeight="1" x14ac:dyDescent="0.4">
      <c r="A14" s="2758"/>
      <c r="B14" s="151" t="s">
        <v>410</v>
      </c>
      <c r="C14" s="163">
        <v>175422</v>
      </c>
      <c r="D14" s="164">
        <v>1015</v>
      </c>
      <c r="E14" s="154">
        <f t="shared" si="0"/>
        <v>176437</v>
      </c>
      <c r="F14" s="163">
        <v>395009</v>
      </c>
      <c r="G14" s="164">
        <v>7531</v>
      </c>
      <c r="H14" s="154">
        <f t="shared" si="1"/>
        <v>402540</v>
      </c>
      <c r="I14" s="168">
        <f t="shared" si="2"/>
        <v>1.2814942444045183</v>
      </c>
    </row>
    <row r="15" spans="1:11" ht="16.5" customHeight="1" thickBot="1" x14ac:dyDescent="0.45">
      <c r="A15" s="2759"/>
      <c r="B15" s="156" t="s">
        <v>220</v>
      </c>
      <c r="C15" s="165">
        <v>148526597</v>
      </c>
      <c r="D15" s="166">
        <v>655820</v>
      </c>
      <c r="E15" s="159">
        <f t="shared" si="0"/>
        <v>149182417</v>
      </c>
      <c r="F15" s="165">
        <v>272222705</v>
      </c>
      <c r="G15" s="166">
        <v>2453048</v>
      </c>
      <c r="H15" s="159">
        <f t="shared" si="1"/>
        <v>274675753</v>
      </c>
      <c r="I15" s="169">
        <f t="shared" si="2"/>
        <v>0.84120728517221965</v>
      </c>
      <c r="J15" s="141">
        <v>301570821</v>
      </c>
    </row>
    <row r="16" spans="1:11" ht="16.5" customHeight="1" x14ac:dyDescent="0.4">
      <c r="A16" s="2760" t="s">
        <v>417</v>
      </c>
      <c r="B16" s="170" t="s">
        <v>415</v>
      </c>
      <c r="C16" s="171">
        <v>0</v>
      </c>
      <c r="D16" s="172">
        <v>0</v>
      </c>
      <c r="E16" s="173">
        <f t="shared" si="0"/>
        <v>0</v>
      </c>
      <c r="F16" s="171">
        <v>0</v>
      </c>
      <c r="G16" s="172">
        <v>0</v>
      </c>
      <c r="H16" s="173">
        <f t="shared" si="1"/>
        <v>0</v>
      </c>
      <c r="I16" s="149" t="str">
        <f t="shared" si="2"/>
        <v>-</v>
      </c>
    </row>
    <row r="17" spans="1:15" ht="16.5" customHeight="1" x14ac:dyDescent="0.4">
      <c r="A17" s="2758"/>
      <c r="B17" s="151" t="s">
        <v>410</v>
      </c>
      <c r="C17" s="163">
        <v>0</v>
      </c>
      <c r="D17" s="164">
        <v>0</v>
      </c>
      <c r="E17" s="154">
        <f t="shared" si="0"/>
        <v>0</v>
      </c>
      <c r="F17" s="163">
        <v>0</v>
      </c>
      <c r="G17" s="164">
        <v>0</v>
      </c>
      <c r="H17" s="154">
        <f t="shared" si="1"/>
        <v>0</v>
      </c>
      <c r="I17" s="155" t="str">
        <f t="shared" si="2"/>
        <v>-</v>
      </c>
    </row>
    <row r="18" spans="1:15" ht="16.5" customHeight="1" thickBot="1" x14ac:dyDescent="0.45">
      <c r="A18" s="2761"/>
      <c r="B18" s="174" t="s">
        <v>220</v>
      </c>
      <c r="C18" s="175">
        <v>0</v>
      </c>
      <c r="D18" s="176">
        <v>0</v>
      </c>
      <c r="E18" s="177">
        <f t="shared" si="0"/>
        <v>0</v>
      </c>
      <c r="F18" s="175">
        <v>0</v>
      </c>
      <c r="G18" s="176">
        <v>0</v>
      </c>
      <c r="H18" s="177">
        <f t="shared" si="1"/>
        <v>0</v>
      </c>
      <c r="I18" s="160" t="str">
        <f t="shared" si="2"/>
        <v>-</v>
      </c>
    </row>
    <row r="19" spans="1:15" ht="16.5" customHeight="1" x14ac:dyDescent="0.4">
      <c r="A19" s="2757" t="s">
        <v>367</v>
      </c>
      <c r="B19" s="145" t="s">
        <v>415</v>
      </c>
      <c r="C19" s="161">
        <v>3469</v>
      </c>
      <c r="D19" s="162">
        <v>0</v>
      </c>
      <c r="E19" s="148">
        <f t="shared" si="0"/>
        <v>3469</v>
      </c>
      <c r="F19" s="161">
        <v>3119</v>
      </c>
      <c r="G19" s="162">
        <v>0</v>
      </c>
      <c r="H19" s="148">
        <f t="shared" si="1"/>
        <v>3119</v>
      </c>
      <c r="I19" s="178">
        <f t="shared" si="2"/>
        <v>-0.10089362928797929</v>
      </c>
    </row>
    <row r="20" spans="1:15" ht="16.5" customHeight="1" x14ac:dyDescent="0.4">
      <c r="A20" s="2758"/>
      <c r="B20" s="151" t="s">
        <v>410</v>
      </c>
      <c r="C20" s="163">
        <v>183589</v>
      </c>
      <c r="D20" s="164">
        <v>0</v>
      </c>
      <c r="E20" s="154">
        <f t="shared" si="0"/>
        <v>183589</v>
      </c>
      <c r="F20" s="163">
        <v>167422</v>
      </c>
      <c r="G20" s="164">
        <v>0</v>
      </c>
      <c r="H20" s="154">
        <f t="shared" si="1"/>
        <v>167422</v>
      </c>
      <c r="I20" s="168">
        <f t="shared" si="2"/>
        <v>-8.8060831531300843E-2</v>
      </c>
    </row>
    <row r="21" spans="1:15" ht="16.5" customHeight="1" thickBot="1" x14ac:dyDescent="0.45">
      <c r="A21" s="2759"/>
      <c r="B21" s="156" t="s">
        <v>220</v>
      </c>
      <c r="C21" s="165">
        <v>27538350</v>
      </c>
      <c r="D21" s="166">
        <v>0</v>
      </c>
      <c r="E21" s="159">
        <f t="shared" si="0"/>
        <v>27538350</v>
      </c>
      <c r="F21" s="165">
        <v>25113300</v>
      </c>
      <c r="G21" s="166">
        <v>0</v>
      </c>
      <c r="H21" s="159">
        <f t="shared" si="1"/>
        <v>25113300</v>
      </c>
      <c r="I21" s="179">
        <f t="shared" si="2"/>
        <v>-8.8060831531300843E-2</v>
      </c>
    </row>
    <row r="22" spans="1:15" ht="16.5" customHeight="1" x14ac:dyDescent="0.4">
      <c r="A22" s="2762" t="s">
        <v>227</v>
      </c>
      <c r="B22" s="145" t="s">
        <v>415</v>
      </c>
      <c r="C22" s="161">
        <v>6287</v>
      </c>
      <c r="D22" s="162">
        <v>0</v>
      </c>
      <c r="E22" s="148">
        <f t="shared" si="0"/>
        <v>6287</v>
      </c>
      <c r="F22" s="161">
        <v>7047</v>
      </c>
      <c r="G22" s="162">
        <v>2</v>
      </c>
      <c r="H22" s="148">
        <f t="shared" si="1"/>
        <v>7049</v>
      </c>
      <c r="I22" s="167">
        <f t="shared" si="2"/>
        <v>0.12120248131064093</v>
      </c>
    </row>
    <row r="23" spans="1:15" ht="16.5" customHeight="1" x14ac:dyDescent="0.4">
      <c r="A23" s="2763"/>
      <c r="B23" s="151" t="s">
        <v>410</v>
      </c>
      <c r="C23" s="163">
        <v>395627</v>
      </c>
      <c r="D23" s="164">
        <v>0</v>
      </c>
      <c r="E23" s="154">
        <f t="shared" si="0"/>
        <v>395627</v>
      </c>
      <c r="F23" s="163">
        <v>446908</v>
      </c>
      <c r="G23" s="164">
        <v>114</v>
      </c>
      <c r="H23" s="154">
        <f t="shared" si="1"/>
        <v>447022</v>
      </c>
      <c r="I23" s="168">
        <f t="shared" si="2"/>
        <v>0.12990771610633245</v>
      </c>
    </row>
    <row r="24" spans="1:15" ht="16.5" customHeight="1" thickBot="1" x14ac:dyDescent="0.45">
      <c r="A24" s="2747"/>
      <c r="B24" s="156" t="s">
        <v>220</v>
      </c>
      <c r="C24" s="165">
        <v>59838170</v>
      </c>
      <c r="D24" s="166">
        <v>0</v>
      </c>
      <c r="E24" s="159">
        <f t="shared" si="0"/>
        <v>59838170</v>
      </c>
      <c r="F24" s="165">
        <v>67994711</v>
      </c>
      <c r="G24" s="166">
        <v>17100</v>
      </c>
      <c r="H24" s="159">
        <f t="shared" si="1"/>
        <v>68011811</v>
      </c>
      <c r="I24" s="169">
        <f t="shared" si="2"/>
        <v>0.1365957715618642</v>
      </c>
    </row>
    <row r="25" spans="1:15" ht="16.5" customHeight="1" x14ac:dyDescent="0.4">
      <c r="A25" s="2763" t="s">
        <v>418</v>
      </c>
      <c r="B25" s="170" t="s">
        <v>415</v>
      </c>
      <c r="C25" s="171">
        <v>0</v>
      </c>
      <c r="D25" s="172">
        <v>0</v>
      </c>
      <c r="E25" s="173">
        <f t="shared" si="0"/>
        <v>0</v>
      </c>
      <c r="F25" s="171">
        <v>0</v>
      </c>
      <c r="G25" s="172">
        <v>0</v>
      </c>
      <c r="H25" s="173">
        <f t="shared" si="1"/>
        <v>0</v>
      </c>
      <c r="I25" s="149" t="str">
        <f t="shared" si="2"/>
        <v>-</v>
      </c>
    </row>
    <row r="26" spans="1:15" ht="16.5" customHeight="1" x14ac:dyDescent="0.4">
      <c r="A26" s="2763"/>
      <c r="B26" s="151" t="s">
        <v>410</v>
      </c>
      <c r="C26" s="163">
        <v>0</v>
      </c>
      <c r="D26" s="164">
        <v>0</v>
      </c>
      <c r="E26" s="154">
        <f t="shared" si="0"/>
        <v>0</v>
      </c>
      <c r="F26" s="163">
        <v>0</v>
      </c>
      <c r="G26" s="164">
        <v>0</v>
      </c>
      <c r="H26" s="154">
        <f t="shared" si="1"/>
        <v>0</v>
      </c>
      <c r="I26" s="155" t="str">
        <f t="shared" si="2"/>
        <v>-</v>
      </c>
    </row>
    <row r="27" spans="1:15" ht="16.5" customHeight="1" thickBot="1" x14ac:dyDescent="0.45">
      <c r="A27" s="2747"/>
      <c r="B27" s="156" t="s">
        <v>220</v>
      </c>
      <c r="C27" s="165">
        <v>0</v>
      </c>
      <c r="D27" s="166">
        <v>0</v>
      </c>
      <c r="E27" s="159">
        <f t="shared" si="0"/>
        <v>0</v>
      </c>
      <c r="F27" s="165">
        <v>0</v>
      </c>
      <c r="G27" s="166">
        <v>0</v>
      </c>
      <c r="H27" s="159">
        <f t="shared" si="1"/>
        <v>0</v>
      </c>
      <c r="I27" s="160" t="str">
        <f t="shared" si="2"/>
        <v>-</v>
      </c>
    </row>
    <row r="28" spans="1:15" ht="16.5" customHeight="1" x14ac:dyDescent="0.4">
      <c r="A28" s="2762" t="s">
        <v>419</v>
      </c>
      <c r="B28" s="170" t="s">
        <v>415</v>
      </c>
      <c r="C28" s="180">
        <v>0</v>
      </c>
      <c r="D28" s="181">
        <v>0</v>
      </c>
      <c r="E28" s="182">
        <f t="shared" si="0"/>
        <v>0</v>
      </c>
      <c r="F28" s="180">
        <v>0</v>
      </c>
      <c r="G28" s="181">
        <v>0</v>
      </c>
      <c r="H28" s="182">
        <f t="shared" si="1"/>
        <v>0</v>
      </c>
      <c r="I28" s="149" t="str">
        <f t="shared" si="2"/>
        <v>-</v>
      </c>
    </row>
    <row r="29" spans="1:15" ht="16.5" customHeight="1" x14ac:dyDescent="0.4">
      <c r="A29" s="2763"/>
      <c r="B29" s="151" t="s">
        <v>410</v>
      </c>
      <c r="C29" s="163">
        <v>0</v>
      </c>
      <c r="D29" s="164">
        <v>0</v>
      </c>
      <c r="E29" s="154">
        <f t="shared" si="0"/>
        <v>0</v>
      </c>
      <c r="F29" s="163">
        <v>0</v>
      </c>
      <c r="G29" s="164">
        <v>0</v>
      </c>
      <c r="H29" s="154">
        <f t="shared" si="1"/>
        <v>0</v>
      </c>
      <c r="I29" s="155" t="str">
        <f t="shared" si="2"/>
        <v>-</v>
      </c>
    </row>
    <row r="30" spans="1:15" ht="16.5" customHeight="1" thickBot="1" x14ac:dyDescent="0.45">
      <c r="A30" s="2747"/>
      <c r="B30" s="156" t="s">
        <v>220</v>
      </c>
      <c r="C30" s="183">
        <v>0</v>
      </c>
      <c r="D30" s="184">
        <v>0</v>
      </c>
      <c r="E30" s="185">
        <f t="shared" si="0"/>
        <v>0</v>
      </c>
      <c r="F30" s="183">
        <v>0</v>
      </c>
      <c r="G30" s="184">
        <v>0</v>
      </c>
      <c r="H30" s="185">
        <f t="shared" si="1"/>
        <v>0</v>
      </c>
      <c r="I30" s="160" t="str">
        <f t="shared" si="2"/>
        <v>-</v>
      </c>
    </row>
    <row r="31" spans="1:15" ht="16.5" customHeight="1" x14ac:dyDescent="0.4">
      <c r="A31" s="2757" t="s">
        <v>420</v>
      </c>
      <c r="B31" s="145" t="s">
        <v>415</v>
      </c>
      <c r="C31" s="161">
        <v>1280</v>
      </c>
      <c r="D31" s="162">
        <v>10</v>
      </c>
      <c r="E31" s="148">
        <f t="shared" si="0"/>
        <v>1290</v>
      </c>
      <c r="F31" s="161">
        <v>901</v>
      </c>
      <c r="G31" s="162">
        <v>0</v>
      </c>
      <c r="H31" s="148">
        <f t="shared" si="1"/>
        <v>901</v>
      </c>
      <c r="I31" s="167">
        <f t="shared" si="2"/>
        <v>-0.30155038759689923</v>
      </c>
      <c r="O31" s="141">
        <f>SUM(O15:O21)</f>
        <v>0</v>
      </c>
    </row>
    <row r="32" spans="1:15" ht="16.5" customHeight="1" x14ac:dyDescent="0.4">
      <c r="A32" s="2758"/>
      <c r="B32" s="151" t="s">
        <v>410</v>
      </c>
      <c r="C32" s="163">
        <v>29592</v>
      </c>
      <c r="D32" s="164">
        <v>230</v>
      </c>
      <c r="E32" s="173">
        <f t="shared" si="0"/>
        <v>29822</v>
      </c>
      <c r="F32" s="163">
        <v>20723</v>
      </c>
      <c r="G32" s="164">
        <v>0</v>
      </c>
      <c r="H32" s="173">
        <f t="shared" si="1"/>
        <v>20723</v>
      </c>
      <c r="I32" s="168">
        <f t="shared" si="2"/>
        <v>-0.30511032123935344</v>
      </c>
    </row>
    <row r="33" spans="1:9" ht="16.5" customHeight="1" thickBot="1" x14ac:dyDescent="0.45">
      <c r="A33" s="2759"/>
      <c r="B33" s="156" t="s">
        <v>220</v>
      </c>
      <c r="C33" s="186">
        <v>4438800</v>
      </c>
      <c r="D33" s="166">
        <v>34500</v>
      </c>
      <c r="E33" s="187">
        <f t="shared" si="0"/>
        <v>4473300</v>
      </c>
      <c r="F33" s="186">
        <v>3108450</v>
      </c>
      <c r="G33" s="166">
        <v>0</v>
      </c>
      <c r="H33" s="187">
        <f t="shared" si="1"/>
        <v>3108450</v>
      </c>
      <c r="I33" s="169">
        <f t="shared" si="2"/>
        <v>-0.30511032123935344</v>
      </c>
    </row>
    <row r="34" spans="1:9" ht="16.5" customHeight="1" x14ac:dyDescent="0.4">
      <c r="A34" s="2757" t="s">
        <v>421</v>
      </c>
      <c r="B34" s="145"/>
      <c r="C34" s="161"/>
      <c r="D34" s="162"/>
      <c r="E34" s="148"/>
      <c r="F34" s="161">
        <v>731</v>
      </c>
      <c r="G34" s="162">
        <v>0</v>
      </c>
      <c r="H34" s="148">
        <v>0</v>
      </c>
      <c r="I34" s="167"/>
    </row>
    <row r="35" spans="1:9" ht="16.5" customHeight="1" x14ac:dyDescent="0.4">
      <c r="A35" s="2758"/>
      <c r="B35" s="151"/>
      <c r="C35" s="163"/>
      <c r="D35" s="164"/>
      <c r="E35" s="173"/>
      <c r="F35" s="163">
        <v>45713</v>
      </c>
      <c r="G35" s="164">
        <v>0</v>
      </c>
      <c r="H35" s="173">
        <v>0</v>
      </c>
      <c r="I35" s="168"/>
    </row>
    <row r="36" spans="1:9" ht="16.5" customHeight="1" thickBot="1" x14ac:dyDescent="0.45">
      <c r="A36" s="2759"/>
      <c r="B36" s="156"/>
      <c r="C36" s="186"/>
      <c r="D36" s="166"/>
      <c r="E36" s="187"/>
      <c r="F36" s="186">
        <v>13031798</v>
      </c>
      <c r="G36" s="166">
        <v>0</v>
      </c>
      <c r="H36" s="187">
        <v>0</v>
      </c>
      <c r="I36" s="169"/>
    </row>
    <row r="37" spans="1:9" ht="16.5" customHeight="1" x14ac:dyDescent="0.4">
      <c r="A37" s="2762" t="s">
        <v>422</v>
      </c>
      <c r="B37" s="145" t="s">
        <v>415</v>
      </c>
      <c r="C37" s="161">
        <v>176</v>
      </c>
      <c r="D37" s="162">
        <v>0</v>
      </c>
      <c r="E37" s="148">
        <f t="shared" si="0"/>
        <v>176</v>
      </c>
      <c r="F37" s="161">
        <v>10</v>
      </c>
      <c r="G37" s="162">
        <v>0</v>
      </c>
      <c r="H37" s="148">
        <f t="shared" si="1"/>
        <v>10</v>
      </c>
      <c r="I37" s="149">
        <f t="shared" si="2"/>
        <v>-0.94318181818181823</v>
      </c>
    </row>
    <row r="38" spans="1:9" ht="16.5" customHeight="1" x14ac:dyDescent="0.4">
      <c r="A38" s="2763"/>
      <c r="B38" s="151" t="s">
        <v>410</v>
      </c>
      <c r="C38" s="163">
        <v>10205</v>
      </c>
      <c r="D38" s="164">
        <v>0</v>
      </c>
      <c r="E38" s="173">
        <f t="shared" si="0"/>
        <v>10205</v>
      </c>
      <c r="F38" s="163">
        <v>257</v>
      </c>
      <c r="G38" s="164">
        <v>0</v>
      </c>
      <c r="H38" s="173">
        <f t="shared" si="1"/>
        <v>257</v>
      </c>
      <c r="I38" s="155">
        <f t="shared" si="2"/>
        <v>-0.97481626653601172</v>
      </c>
    </row>
    <row r="39" spans="1:9" ht="16.5" customHeight="1" thickBot="1" x14ac:dyDescent="0.45">
      <c r="A39" s="2747"/>
      <c r="B39" s="156" t="s">
        <v>220</v>
      </c>
      <c r="C39" s="186">
        <v>7059382</v>
      </c>
      <c r="D39" s="166">
        <v>0</v>
      </c>
      <c r="E39" s="187">
        <f t="shared" si="0"/>
        <v>7059382</v>
      </c>
      <c r="F39" s="186">
        <v>74666</v>
      </c>
      <c r="G39" s="166">
        <v>0</v>
      </c>
      <c r="H39" s="187">
        <f t="shared" si="1"/>
        <v>74666</v>
      </c>
      <c r="I39" s="160">
        <f t="shared" si="2"/>
        <v>-0.98942315347150789</v>
      </c>
    </row>
    <row r="40" spans="1:9" ht="16.5" customHeight="1" x14ac:dyDescent="0.45">
      <c r="A40" s="2755" t="s">
        <v>423</v>
      </c>
      <c r="B40" s="170" t="s">
        <v>415</v>
      </c>
      <c r="C40" s="188">
        <f t="shared" ref="C40:D42" si="3">+C4+C7+C10+C13+C16+C19+C22+C25+C31+C28+C37</f>
        <v>31628</v>
      </c>
      <c r="D40" s="189">
        <f t="shared" si="3"/>
        <v>115</v>
      </c>
      <c r="E40" s="190">
        <f>SUM(C40:D40)</f>
        <v>31743</v>
      </c>
      <c r="F40" s="188">
        <f t="shared" ref="F40:G42" si="4">+F4+F7+F10+F13+F16+F19+F22+F25+F31+F28+F37+F34</f>
        <v>37009</v>
      </c>
      <c r="G40" s="188">
        <f t="shared" si="4"/>
        <v>784</v>
      </c>
      <c r="H40" s="190">
        <f>SUM(F40:G40)</f>
        <v>37793</v>
      </c>
      <c r="I40" s="191">
        <f t="shared" si="2"/>
        <v>0.19059320165075766</v>
      </c>
    </row>
    <row r="41" spans="1:9" ht="16.5" customHeight="1" x14ac:dyDescent="0.45">
      <c r="A41" s="2750"/>
      <c r="B41" s="151" t="s">
        <v>410</v>
      </c>
      <c r="C41" s="192">
        <f t="shared" si="3"/>
        <v>1833852</v>
      </c>
      <c r="D41" s="193">
        <f t="shared" si="3"/>
        <v>6380</v>
      </c>
      <c r="E41" s="194">
        <f t="shared" ref="E41:E42" si="5">SUM(C41:D41)</f>
        <v>1840232</v>
      </c>
      <c r="F41" s="192">
        <f t="shared" si="4"/>
        <v>2147885</v>
      </c>
      <c r="G41" s="192">
        <f t="shared" si="4"/>
        <v>42648</v>
      </c>
      <c r="H41" s="194">
        <f t="shared" ref="H41:H42" si="6">SUM(F41:G41)</f>
        <v>2190533</v>
      </c>
      <c r="I41" s="195">
        <f t="shared" si="2"/>
        <v>0.19035697672902119</v>
      </c>
    </row>
    <row r="42" spans="1:9" ht="16.5" customHeight="1" thickBot="1" x14ac:dyDescent="0.5">
      <c r="A42" s="2756"/>
      <c r="B42" s="156" t="s">
        <v>220</v>
      </c>
      <c r="C42" s="196">
        <f t="shared" si="3"/>
        <v>488195223</v>
      </c>
      <c r="D42" s="197">
        <f t="shared" si="3"/>
        <v>1471961</v>
      </c>
      <c r="E42" s="198">
        <f t="shared" si="5"/>
        <v>489667184</v>
      </c>
      <c r="F42" s="196">
        <f t="shared" si="4"/>
        <v>627936479</v>
      </c>
      <c r="G42" s="196">
        <f t="shared" si="4"/>
        <v>7862362</v>
      </c>
      <c r="H42" s="198">
        <f t="shared" si="6"/>
        <v>635798841</v>
      </c>
      <c r="I42" s="199">
        <f t="shared" si="2"/>
        <v>0.29843057034428511</v>
      </c>
    </row>
    <row r="43" spans="1:9" ht="16.5" customHeight="1" thickBot="1" x14ac:dyDescent="0.5">
      <c r="A43" s="2747" t="s">
        <v>182</v>
      </c>
      <c r="B43" s="2748"/>
      <c r="C43" s="200">
        <f t="shared" ref="C43:H43" si="7">C42/C41</f>
        <v>266.21298937973182</v>
      </c>
      <c r="D43" s="201">
        <f t="shared" si="7"/>
        <v>230.71489028213165</v>
      </c>
      <c r="E43" s="202">
        <f t="shared" si="7"/>
        <v>266.08991909715729</v>
      </c>
      <c r="F43" s="200">
        <f t="shared" si="7"/>
        <v>292.35107047165002</v>
      </c>
      <c r="G43" s="201">
        <f t="shared" si="7"/>
        <v>184.35476458450572</v>
      </c>
      <c r="H43" s="202">
        <f t="shared" si="7"/>
        <v>290.24846509958991</v>
      </c>
      <c r="I43" s="203">
        <f>(H43-E43)/E43</f>
        <v>9.079091039751723E-2</v>
      </c>
    </row>
    <row r="44" spans="1:9" ht="9.75" customHeight="1" thickBot="1" x14ac:dyDescent="0.5">
      <c r="A44" s="204"/>
      <c r="B44" s="204"/>
      <c r="C44" s="205"/>
      <c r="D44" s="205"/>
      <c r="E44" s="205"/>
      <c r="F44" s="205"/>
      <c r="G44" s="205"/>
      <c r="H44" s="205"/>
      <c r="I44" s="206"/>
    </row>
    <row r="45" spans="1:9" ht="16.5" customHeight="1" x14ac:dyDescent="0.45">
      <c r="A45" s="2749" t="s">
        <v>424</v>
      </c>
      <c r="B45" s="207" t="s">
        <v>415</v>
      </c>
      <c r="C45" s="146">
        <v>9613</v>
      </c>
      <c r="D45" s="147">
        <v>93</v>
      </c>
      <c r="E45" s="190">
        <f>SUM(C45:D45)</f>
        <v>9706</v>
      </c>
      <c r="F45" s="146">
        <v>11052</v>
      </c>
      <c r="G45" s="147">
        <v>14</v>
      </c>
      <c r="H45" s="190">
        <f>SUM(F45:G45)</f>
        <v>11066</v>
      </c>
      <c r="I45" s="208">
        <f>IFERROR((H45/E45-1),"-")</f>
        <v>0.14011951370286413</v>
      </c>
    </row>
    <row r="46" spans="1:9" ht="16.5" customHeight="1" x14ac:dyDescent="0.45">
      <c r="A46" s="2750"/>
      <c r="B46" s="209" t="s">
        <v>410</v>
      </c>
      <c r="C46" s="152">
        <v>493488</v>
      </c>
      <c r="D46" s="153">
        <v>5797</v>
      </c>
      <c r="E46" s="194">
        <f>SUM(C46:D46)</f>
        <v>499285</v>
      </c>
      <c r="F46" s="152">
        <v>541366</v>
      </c>
      <c r="G46" s="153">
        <v>629</v>
      </c>
      <c r="H46" s="194">
        <f>SUM(F46:G46)</f>
        <v>541995</v>
      </c>
      <c r="I46" s="195">
        <f>IFERROR((H46/E46-1),"-")</f>
        <v>8.554232552550145E-2</v>
      </c>
    </row>
    <row r="47" spans="1:9" ht="16.5" customHeight="1" thickBot="1" x14ac:dyDescent="0.5">
      <c r="A47" s="2751"/>
      <c r="B47" s="210" t="s">
        <v>220</v>
      </c>
      <c r="C47" s="211">
        <v>171571522</v>
      </c>
      <c r="D47" s="212">
        <v>869550</v>
      </c>
      <c r="E47" s="198">
        <f>SUM(C47:D47)</f>
        <v>172441072</v>
      </c>
      <c r="F47" s="211">
        <v>193524950</v>
      </c>
      <c r="G47" s="212">
        <v>95019</v>
      </c>
      <c r="H47" s="198">
        <f>SUM(F47:G47)</f>
        <v>193619969</v>
      </c>
      <c r="I47" s="213">
        <f>IFERROR((H47/E47-1),"-")</f>
        <v>0.12281817060381073</v>
      </c>
    </row>
    <row r="48" spans="1:9" ht="16.5" customHeight="1" thickBot="1" x14ac:dyDescent="0.5">
      <c r="A48" s="2752" t="s">
        <v>182</v>
      </c>
      <c r="B48" s="2753"/>
      <c r="C48" s="214">
        <f t="shared" ref="C48:H48" si="8">C47/C46</f>
        <v>347.67111257011317</v>
      </c>
      <c r="D48" s="215">
        <f t="shared" si="8"/>
        <v>150</v>
      </c>
      <c r="E48" s="216">
        <f t="shared" si="8"/>
        <v>345.37603172536728</v>
      </c>
      <c r="F48" s="214">
        <f t="shared" si="8"/>
        <v>357.47525703498189</v>
      </c>
      <c r="G48" s="215">
        <f t="shared" si="8"/>
        <v>151.06359300476947</v>
      </c>
      <c r="H48" s="216">
        <f t="shared" si="8"/>
        <v>357.2357106615375</v>
      </c>
      <c r="I48" s="217">
        <f>(H48-E48)/E48</f>
        <v>3.4338453878584939E-2</v>
      </c>
    </row>
    <row r="49" spans="1:10" ht="8.25" customHeight="1" thickBot="1" x14ac:dyDescent="0.5">
      <c r="A49" s="204"/>
      <c r="B49" s="204"/>
      <c r="C49" s="218"/>
      <c r="D49" s="218"/>
      <c r="E49" s="218"/>
      <c r="F49" s="218"/>
      <c r="G49" s="218"/>
      <c r="H49" s="218"/>
      <c r="I49" s="219" t="s">
        <v>425</v>
      </c>
    </row>
    <row r="50" spans="1:10" ht="16.5" customHeight="1" x14ac:dyDescent="0.45">
      <c r="A50" s="2749" t="s">
        <v>426</v>
      </c>
      <c r="B50" s="207" t="s">
        <v>415</v>
      </c>
      <c r="C50" s="220">
        <v>24398</v>
      </c>
      <c r="D50" s="221">
        <v>4839</v>
      </c>
      <c r="E50" s="190">
        <f>SUM(C50:D50)</f>
        <v>29237</v>
      </c>
      <c r="F50" s="220">
        <v>37304</v>
      </c>
      <c r="G50" s="221">
        <v>3396</v>
      </c>
      <c r="H50" s="190">
        <f>SUM(F50:G50)</f>
        <v>40700</v>
      </c>
      <c r="I50" s="208">
        <f>IFERROR((H50/E50-1),"-")</f>
        <v>0.39207168998187236</v>
      </c>
    </row>
    <row r="51" spans="1:10" ht="16.5" customHeight="1" x14ac:dyDescent="0.45">
      <c r="A51" s="2750"/>
      <c r="B51" s="209" t="s">
        <v>410</v>
      </c>
      <c r="C51" s="222">
        <v>1285501</v>
      </c>
      <c r="D51" s="223">
        <v>284933</v>
      </c>
      <c r="E51" s="194">
        <f>SUM(C51:D51)</f>
        <v>1570434</v>
      </c>
      <c r="F51" s="222">
        <v>2172186</v>
      </c>
      <c r="G51" s="223">
        <v>201597</v>
      </c>
      <c r="H51" s="194">
        <f>SUM(F51:G51)</f>
        <v>2373783</v>
      </c>
      <c r="I51" s="195">
        <f>IFERROR((H51/E51-1),"-")</f>
        <v>0.51154585292982713</v>
      </c>
    </row>
    <row r="52" spans="1:10" ht="16.5" customHeight="1" thickBot="1" x14ac:dyDescent="0.5">
      <c r="A52" s="2751"/>
      <c r="B52" s="210" t="s">
        <v>220</v>
      </c>
      <c r="C52" s="224">
        <v>1469813582</v>
      </c>
      <c r="D52" s="225">
        <v>55535798</v>
      </c>
      <c r="E52" s="198">
        <f>SUM(C52:D52)</f>
        <v>1525349380</v>
      </c>
      <c r="F52" s="224">
        <v>3006580082</v>
      </c>
      <c r="G52" s="225">
        <v>91616408</v>
      </c>
      <c r="H52" s="198">
        <f>SUM(F52:G52)</f>
        <v>3098196490</v>
      </c>
      <c r="I52" s="213">
        <f>IFERROR((H52/E52-1),"-")</f>
        <v>1.0311389184817448</v>
      </c>
    </row>
    <row r="53" spans="1:10" ht="18.75" customHeight="1" thickBot="1" x14ac:dyDescent="0.5">
      <c r="A53" s="2752" t="s">
        <v>182</v>
      </c>
      <c r="B53" s="2753"/>
      <c r="C53" s="226">
        <f t="shared" ref="C53:H53" si="9">C52/C51</f>
        <v>1143.3780152640877</v>
      </c>
      <c r="D53" s="227">
        <f t="shared" si="9"/>
        <v>194.90826966339455</v>
      </c>
      <c r="E53" s="228">
        <f t="shared" si="9"/>
        <v>971.29161747644287</v>
      </c>
      <c r="F53" s="226">
        <f t="shared" si="9"/>
        <v>1384.1264431314814</v>
      </c>
      <c r="G53" s="227">
        <f t="shared" si="9"/>
        <v>454.4532309508574</v>
      </c>
      <c r="H53" s="228">
        <f t="shared" si="9"/>
        <v>1305.1725831720928</v>
      </c>
      <c r="I53" s="217">
        <f>(H53-E53)/E53</f>
        <v>0.34374945658763256</v>
      </c>
    </row>
    <row r="54" spans="1:10" x14ac:dyDescent="0.4">
      <c r="A54" s="2754" t="s">
        <v>411</v>
      </c>
      <c r="B54" s="2754"/>
      <c r="C54" s="2754"/>
      <c r="H54" s="229"/>
    </row>
    <row r="55" spans="1:10" ht="27" customHeight="1" x14ac:dyDescent="0.4">
      <c r="A55" s="2746" t="s">
        <v>427</v>
      </c>
      <c r="B55" s="2746"/>
      <c r="C55" s="2746"/>
      <c r="D55" s="2746"/>
      <c r="E55" s="2746"/>
      <c r="F55" s="2746"/>
      <c r="G55" s="2746"/>
      <c r="H55" s="2746"/>
      <c r="I55" s="2746"/>
    </row>
    <row r="57" spans="1:10" x14ac:dyDescent="0.4">
      <c r="F57" s="230"/>
      <c r="G57" s="231"/>
      <c r="H57" s="150"/>
    </row>
    <row r="58" spans="1:10" x14ac:dyDescent="0.4">
      <c r="F58" s="230"/>
      <c r="G58" s="150"/>
      <c r="H58" s="150"/>
    </row>
    <row r="59" spans="1:10" x14ac:dyDescent="0.4">
      <c r="F59" s="230"/>
    </row>
    <row r="63" spans="1:10" x14ac:dyDescent="0.4">
      <c r="I63" s="231"/>
      <c r="J63" s="231"/>
    </row>
  </sheetData>
  <mergeCells count="25">
    <mergeCell ref="A4:A6"/>
    <mergeCell ref="A1:I1"/>
    <mergeCell ref="A2:B3"/>
    <mergeCell ref="C2:E2"/>
    <mergeCell ref="F2:H2"/>
    <mergeCell ref="I2:I3"/>
    <mergeCell ref="A40:A42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55:I55"/>
    <mergeCell ref="A43:B43"/>
    <mergeCell ref="A45:A47"/>
    <mergeCell ref="A48:B48"/>
    <mergeCell ref="A50:A52"/>
    <mergeCell ref="A53:B53"/>
    <mergeCell ref="A54:C54"/>
  </mergeCells>
  <printOptions horizontalCentered="1" verticalCentered="1"/>
  <pageMargins left="0.59055118110236227" right="0.59055118110236227" top="0.78740157480314965" bottom="0.78740157480314965" header="0" footer="0"/>
  <pageSetup paperSize="9" scale="85" firstPageNumber="31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00B050"/>
  </sheetPr>
  <dimension ref="A1:I35"/>
  <sheetViews>
    <sheetView rightToLeft="1" topLeftCell="A13" zoomScale="90" zoomScaleNormal="90" zoomScaleSheetLayoutView="91" workbookViewId="0">
      <selection activeCell="J24" sqref="J24"/>
    </sheetView>
  </sheetViews>
  <sheetFormatPr defaultColWidth="6.875" defaultRowHeight="33.75" customHeight="1" x14ac:dyDescent="0.5"/>
  <cols>
    <col min="1" max="1" width="51.25" style="1" customWidth="1"/>
    <col min="2" max="2" width="12.375" style="9" customWidth="1"/>
    <col min="3" max="3" width="15.75" style="9" customWidth="1"/>
    <col min="4" max="4" width="12.25" style="9" customWidth="1"/>
    <col min="5" max="5" width="11.125" style="9" customWidth="1"/>
    <col min="6" max="6" width="11.625" style="9" customWidth="1"/>
    <col min="7" max="7" width="8.75" style="10" customWidth="1"/>
    <col min="8" max="8" width="9.25" style="11" customWidth="1"/>
    <col min="9" max="252" width="6.875" style="1"/>
    <col min="253" max="253" width="28.25" style="1" customWidth="1"/>
    <col min="254" max="254" width="34.125" style="1" customWidth="1"/>
    <col min="255" max="255" width="12.125" style="1" customWidth="1"/>
    <col min="256" max="256" width="10.625" style="1" customWidth="1"/>
    <col min="257" max="257" width="11.75" style="1" customWidth="1"/>
    <col min="258" max="258" width="10.25" style="1" customWidth="1"/>
    <col min="259" max="259" width="13.125" style="1" customWidth="1"/>
    <col min="260" max="260" width="16.25" style="1" customWidth="1"/>
    <col min="261" max="508" width="6.875" style="1"/>
    <col min="509" max="509" width="28.25" style="1" customWidth="1"/>
    <col min="510" max="510" width="34.125" style="1" customWidth="1"/>
    <col min="511" max="511" width="12.125" style="1" customWidth="1"/>
    <col min="512" max="512" width="10.625" style="1" customWidth="1"/>
    <col min="513" max="513" width="11.75" style="1" customWidth="1"/>
    <col min="514" max="514" width="10.25" style="1" customWidth="1"/>
    <col min="515" max="515" width="13.125" style="1" customWidth="1"/>
    <col min="516" max="516" width="16.25" style="1" customWidth="1"/>
    <col min="517" max="764" width="6.875" style="1"/>
    <col min="765" max="765" width="28.25" style="1" customWidth="1"/>
    <col min="766" max="766" width="34.125" style="1" customWidth="1"/>
    <col min="767" max="767" width="12.125" style="1" customWidth="1"/>
    <col min="768" max="768" width="10.625" style="1" customWidth="1"/>
    <col min="769" max="769" width="11.75" style="1" customWidth="1"/>
    <col min="770" max="770" width="10.25" style="1" customWidth="1"/>
    <col min="771" max="771" width="13.125" style="1" customWidth="1"/>
    <col min="772" max="772" width="16.25" style="1" customWidth="1"/>
    <col min="773" max="1020" width="6.875" style="1"/>
    <col min="1021" max="1021" width="28.25" style="1" customWidth="1"/>
    <col min="1022" max="1022" width="34.125" style="1" customWidth="1"/>
    <col min="1023" max="1023" width="12.125" style="1" customWidth="1"/>
    <col min="1024" max="1024" width="10.625" style="1" customWidth="1"/>
    <col min="1025" max="1025" width="11.75" style="1" customWidth="1"/>
    <col min="1026" max="1026" width="10.25" style="1" customWidth="1"/>
    <col min="1027" max="1027" width="13.125" style="1" customWidth="1"/>
    <col min="1028" max="1028" width="16.25" style="1" customWidth="1"/>
    <col min="1029" max="1276" width="6.875" style="1"/>
    <col min="1277" max="1277" width="28.25" style="1" customWidth="1"/>
    <col min="1278" max="1278" width="34.125" style="1" customWidth="1"/>
    <col min="1279" max="1279" width="12.125" style="1" customWidth="1"/>
    <col min="1280" max="1280" width="10.625" style="1" customWidth="1"/>
    <col min="1281" max="1281" width="11.75" style="1" customWidth="1"/>
    <col min="1282" max="1282" width="10.25" style="1" customWidth="1"/>
    <col min="1283" max="1283" width="13.125" style="1" customWidth="1"/>
    <col min="1284" max="1284" width="16.25" style="1" customWidth="1"/>
    <col min="1285" max="1532" width="6.875" style="1"/>
    <col min="1533" max="1533" width="28.25" style="1" customWidth="1"/>
    <col min="1534" max="1534" width="34.125" style="1" customWidth="1"/>
    <col min="1535" max="1535" width="12.125" style="1" customWidth="1"/>
    <col min="1536" max="1536" width="10.625" style="1" customWidth="1"/>
    <col min="1537" max="1537" width="11.75" style="1" customWidth="1"/>
    <col min="1538" max="1538" width="10.25" style="1" customWidth="1"/>
    <col min="1539" max="1539" width="13.125" style="1" customWidth="1"/>
    <col min="1540" max="1540" width="16.25" style="1" customWidth="1"/>
    <col min="1541" max="1788" width="6.875" style="1"/>
    <col min="1789" max="1789" width="28.25" style="1" customWidth="1"/>
    <col min="1790" max="1790" width="34.125" style="1" customWidth="1"/>
    <col min="1791" max="1791" width="12.125" style="1" customWidth="1"/>
    <col min="1792" max="1792" width="10.625" style="1" customWidth="1"/>
    <col min="1793" max="1793" width="11.75" style="1" customWidth="1"/>
    <col min="1794" max="1794" width="10.25" style="1" customWidth="1"/>
    <col min="1795" max="1795" width="13.125" style="1" customWidth="1"/>
    <col min="1796" max="1796" width="16.25" style="1" customWidth="1"/>
    <col min="1797" max="2044" width="6.875" style="1"/>
    <col min="2045" max="2045" width="28.25" style="1" customWidth="1"/>
    <col min="2046" max="2046" width="34.125" style="1" customWidth="1"/>
    <col min="2047" max="2047" width="12.125" style="1" customWidth="1"/>
    <col min="2048" max="2048" width="10.625" style="1" customWidth="1"/>
    <col min="2049" max="2049" width="11.75" style="1" customWidth="1"/>
    <col min="2050" max="2050" width="10.25" style="1" customWidth="1"/>
    <col min="2051" max="2051" width="13.125" style="1" customWidth="1"/>
    <col min="2052" max="2052" width="16.25" style="1" customWidth="1"/>
    <col min="2053" max="2300" width="6.875" style="1"/>
    <col min="2301" max="2301" width="28.25" style="1" customWidth="1"/>
    <col min="2302" max="2302" width="34.125" style="1" customWidth="1"/>
    <col min="2303" max="2303" width="12.125" style="1" customWidth="1"/>
    <col min="2304" max="2304" width="10.625" style="1" customWidth="1"/>
    <col min="2305" max="2305" width="11.75" style="1" customWidth="1"/>
    <col min="2306" max="2306" width="10.25" style="1" customWidth="1"/>
    <col min="2307" max="2307" width="13.125" style="1" customWidth="1"/>
    <col min="2308" max="2308" width="16.25" style="1" customWidth="1"/>
    <col min="2309" max="2556" width="6.875" style="1"/>
    <col min="2557" max="2557" width="28.25" style="1" customWidth="1"/>
    <col min="2558" max="2558" width="34.125" style="1" customWidth="1"/>
    <col min="2559" max="2559" width="12.125" style="1" customWidth="1"/>
    <col min="2560" max="2560" width="10.625" style="1" customWidth="1"/>
    <col min="2561" max="2561" width="11.75" style="1" customWidth="1"/>
    <col min="2562" max="2562" width="10.25" style="1" customWidth="1"/>
    <col min="2563" max="2563" width="13.125" style="1" customWidth="1"/>
    <col min="2564" max="2564" width="16.25" style="1" customWidth="1"/>
    <col min="2565" max="2812" width="6.875" style="1"/>
    <col min="2813" max="2813" width="28.25" style="1" customWidth="1"/>
    <col min="2814" max="2814" width="34.125" style="1" customWidth="1"/>
    <col min="2815" max="2815" width="12.125" style="1" customWidth="1"/>
    <col min="2816" max="2816" width="10.625" style="1" customWidth="1"/>
    <col min="2817" max="2817" width="11.75" style="1" customWidth="1"/>
    <col min="2818" max="2818" width="10.25" style="1" customWidth="1"/>
    <col min="2819" max="2819" width="13.125" style="1" customWidth="1"/>
    <col min="2820" max="2820" width="16.25" style="1" customWidth="1"/>
    <col min="2821" max="3068" width="6.875" style="1"/>
    <col min="3069" max="3069" width="28.25" style="1" customWidth="1"/>
    <col min="3070" max="3070" width="34.125" style="1" customWidth="1"/>
    <col min="3071" max="3071" width="12.125" style="1" customWidth="1"/>
    <col min="3072" max="3072" width="10.625" style="1" customWidth="1"/>
    <col min="3073" max="3073" width="11.75" style="1" customWidth="1"/>
    <col min="3074" max="3074" width="10.25" style="1" customWidth="1"/>
    <col min="3075" max="3075" width="13.125" style="1" customWidth="1"/>
    <col min="3076" max="3076" width="16.25" style="1" customWidth="1"/>
    <col min="3077" max="3324" width="6.875" style="1"/>
    <col min="3325" max="3325" width="28.25" style="1" customWidth="1"/>
    <col min="3326" max="3326" width="34.125" style="1" customWidth="1"/>
    <col min="3327" max="3327" width="12.125" style="1" customWidth="1"/>
    <col min="3328" max="3328" width="10.625" style="1" customWidth="1"/>
    <col min="3329" max="3329" width="11.75" style="1" customWidth="1"/>
    <col min="3330" max="3330" width="10.25" style="1" customWidth="1"/>
    <col min="3331" max="3331" width="13.125" style="1" customWidth="1"/>
    <col min="3332" max="3332" width="16.25" style="1" customWidth="1"/>
    <col min="3333" max="3580" width="6.875" style="1"/>
    <col min="3581" max="3581" width="28.25" style="1" customWidth="1"/>
    <col min="3582" max="3582" width="34.125" style="1" customWidth="1"/>
    <col min="3583" max="3583" width="12.125" style="1" customWidth="1"/>
    <col min="3584" max="3584" width="10.625" style="1" customWidth="1"/>
    <col min="3585" max="3585" width="11.75" style="1" customWidth="1"/>
    <col min="3586" max="3586" width="10.25" style="1" customWidth="1"/>
    <col min="3587" max="3587" width="13.125" style="1" customWidth="1"/>
    <col min="3588" max="3588" width="16.25" style="1" customWidth="1"/>
    <col min="3589" max="3836" width="6.875" style="1"/>
    <col min="3837" max="3837" width="28.25" style="1" customWidth="1"/>
    <col min="3838" max="3838" width="34.125" style="1" customWidth="1"/>
    <col min="3839" max="3839" width="12.125" style="1" customWidth="1"/>
    <col min="3840" max="3840" width="10.625" style="1" customWidth="1"/>
    <col min="3841" max="3841" width="11.75" style="1" customWidth="1"/>
    <col min="3842" max="3842" width="10.25" style="1" customWidth="1"/>
    <col min="3843" max="3843" width="13.125" style="1" customWidth="1"/>
    <col min="3844" max="3844" width="16.25" style="1" customWidth="1"/>
    <col min="3845" max="4092" width="6.875" style="1"/>
    <col min="4093" max="4093" width="28.25" style="1" customWidth="1"/>
    <col min="4094" max="4094" width="34.125" style="1" customWidth="1"/>
    <col min="4095" max="4095" width="12.125" style="1" customWidth="1"/>
    <col min="4096" max="4096" width="10.625" style="1" customWidth="1"/>
    <col min="4097" max="4097" width="11.75" style="1" customWidth="1"/>
    <col min="4098" max="4098" width="10.25" style="1" customWidth="1"/>
    <col min="4099" max="4099" width="13.125" style="1" customWidth="1"/>
    <col min="4100" max="4100" width="16.25" style="1" customWidth="1"/>
    <col min="4101" max="4348" width="6.875" style="1"/>
    <col min="4349" max="4349" width="28.25" style="1" customWidth="1"/>
    <col min="4350" max="4350" width="34.125" style="1" customWidth="1"/>
    <col min="4351" max="4351" width="12.125" style="1" customWidth="1"/>
    <col min="4352" max="4352" width="10.625" style="1" customWidth="1"/>
    <col min="4353" max="4353" width="11.75" style="1" customWidth="1"/>
    <col min="4354" max="4354" width="10.25" style="1" customWidth="1"/>
    <col min="4355" max="4355" width="13.125" style="1" customWidth="1"/>
    <col min="4356" max="4356" width="16.25" style="1" customWidth="1"/>
    <col min="4357" max="4604" width="6.875" style="1"/>
    <col min="4605" max="4605" width="28.25" style="1" customWidth="1"/>
    <col min="4606" max="4606" width="34.125" style="1" customWidth="1"/>
    <col min="4607" max="4607" width="12.125" style="1" customWidth="1"/>
    <col min="4608" max="4608" width="10.625" style="1" customWidth="1"/>
    <col min="4609" max="4609" width="11.75" style="1" customWidth="1"/>
    <col min="4610" max="4610" width="10.25" style="1" customWidth="1"/>
    <col min="4611" max="4611" width="13.125" style="1" customWidth="1"/>
    <col min="4612" max="4612" width="16.25" style="1" customWidth="1"/>
    <col min="4613" max="4860" width="6.875" style="1"/>
    <col min="4861" max="4861" width="28.25" style="1" customWidth="1"/>
    <col min="4862" max="4862" width="34.125" style="1" customWidth="1"/>
    <col min="4863" max="4863" width="12.125" style="1" customWidth="1"/>
    <col min="4864" max="4864" width="10.625" style="1" customWidth="1"/>
    <col min="4865" max="4865" width="11.75" style="1" customWidth="1"/>
    <col min="4866" max="4866" width="10.25" style="1" customWidth="1"/>
    <col min="4867" max="4867" width="13.125" style="1" customWidth="1"/>
    <col min="4868" max="4868" width="16.25" style="1" customWidth="1"/>
    <col min="4869" max="5116" width="6.875" style="1"/>
    <col min="5117" max="5117" width="28.25" style="1" customWidth="1"/>
    <col min="5118" max="5118" width="34.125" style="1" customWidth="1"/>
    <col min="5119" max="5119" width="12.125" style="1" customWidth="1"/>
    <col min="5120" max="5120" width="10.625" style="1" customWidth="1"/>
    <col min="5121" max="5121" width="11.75" style="1" customWidth="1"/>
    <col min="5122" max="5122" width="10.25" style="1" customWidth="1"/>
    <col min="5123" max="5123" width="13.125" style="1" customWidth="1"/>
    <col min="5124" max="5124" width="16.25" style="1" customWidth="1"/>
    <col min="5125" max="5372" width="6.875" style="1"/>
    <col min="5373" max="5373" width="28.25" style="1" customWidth="1"/>
    <col min="5374" max="5374" width="34.125" style="1" customWidth="1"/>
    <col min="5375" max="5375" width="12.125" style="1" customWidth="1"/>
    <col min="5376" max="5376" width="10.625" style="1" customWidth="1"/>
    <col min="5377" max="5377" width="11.75" style="1" customWidth="1"/>
    <col min="5378" max="5378" width="10.25" style="1" customWidth="1"/>
    <col min="5379" max="5379" width="13.125" style="1" customWidth="1"/>
    <col min="5380" max="5380" width="16.25" style="1" customWidth="1"/>
    <col min="5381" max="5628" width="6.875" style="1"/>
    <col min="5629" max="5629" width="28.25" style="1" customWidth="1"/>
    <col min="5630" max="5630" width="34.125" style="1" customWidth="1"/>
    <col min="5631" max="5631" width="12.125" style="1" customWidth="1"/>
    <col min="5632" max="5632" width="10.625" style="1" customWidth="1"/>
    <col min="5633" max="5633" width="11.75" style="1" customWidth="1"/>
    <col min="5634" max="5634" width="10.25" style="1" customWidth="1"/>
    <col min="5635" max="5635" width="13.125" style="1" customWidth="1"/>
    <col min="5636" max="5636" width="16.25" style="1" customWidth="1"/>
    <col min="5637" max="5884" width="6.875" style="1"/>
    <col min="5885" max="5885" width="28.25" style="1" customWidth="1"/>
    <col min="5886" max="5886" width="34.125" style="1" customWidth="1"/>
    <col min="5887" max="5887" width="12.125" style="1" customWidth="1"/>
    <col min="5888" max="5888" width="10.625" style="1" customWidth="1"/>
    <col min="5889" max="5889" width="11.75" style="1" customWidth="1"/>
    <col min="5890" max="5890" width="10.25" style="1" customWidth="1"/>
    <col min="5891" max="5891" width="13.125" style="1" customWidth="1"/>
    <col min="5892" max="5892" width="16.25" style="1" customWidth="1"/>
    <col min="5893" max="6140" width="6.875" style="1"/>
    <col min="6141" max="6141" width="28.25" style="1" customWidth="1"/>
    <col min="6142" max="6142" width="34.125" style="1" customWidth="1"/>
    <col min="6143" max="6143" width="12.125" style="1" customWidth="1"/>
    <col min="6144" max="6144" width="10.625" style="1" customWidth="1"/>
    <col min="6145" max="6145" width="11.75" style="1" customWidth="1"/>
    <col min="6146" max="6146" width="10.25" style="1" customWidth="1"/>
    <col min="6147" max="6147" width="13.125" style="1" customWidth="1"/>
    <col min="6148" max="6148" width="16.25" style="1" customWidth="1"/>
    <col min="6149" max="6396" width="6.875" style="1"/>
    <col min="6397" max="6397" width="28.25" style="1" customWidth="1"/>
    <col min="6398" max="6398" width="34.125" style="1" customWidth="1"/>
    <col min="6399" max="6399" width="12.125" style="1" customWidth="1"/>
    <col min="6400" max="6400" width="10.625" style="1" customWidth="1"/>
    <col min="6401" max="6401" width="11.75" style="1" customWidth="1"/>
    <col min="6402" max="6402" width="10.25" style="1" customWidth="1"/>
    <col min="6403" max="6403" width="13.125" style="1" customWidth="1"/>
    <col min="6404" max="6404" width="16.25" style="1" customWidth="1"/>
    <col min="6405" max="6652" width="6.875" style="1"/>
    <col min="6653" max="6653" width="28.25" style="1" customWidth="1"/>
    <col min="6654" max="6654" width="34.125" style="1" customWidth="1"/>
    <col min="6655" max="6655" width="12.125" style="1" customWidth="1"/>
    <col min="6656" max="6656" width="10.625" style="1" customWidth="1"/>
    <col min="6657" max="6657" width="11.75" style="1" customWidth="1"/>
    <col min="6658" max="6658" width="10.25" style="1" customWidth="1"/>
    <col min="6659" max="6659" width="13.125" style="1" customWidth="1"/>
    <col min="6660" max="6660" width="16.25" style="1" customWidth="1"/>
    <col min="6661" max="6908" width="6.875" style="1"/>
    <col min="6909" max="6909" width="28.25" style="1" customWidth="1"/>
    <col min="6910" max="6910" width="34.125" style="1" customWidth="1"/>
    <col min="6911" max="6911" width="12.125" style="1" customWidth="1"/>
    <col min="6912" max="6912" width="10.625" style="1" customWidth="1"/>
    <col min="6913" max="6913" width="11.75" style="1" customWidth="1"/>
    <col min="6914" max="6914" width="10.25" style="1" customWidth="1"/>
    <col min="6915" max="6915" width="13.125" style="1" customWidth="1"/>
    <col min="6916" max="6916" width="16.25" style="1" customWidth="1"/>
    <col min="6917" max="7164" width="6.875" style="1"/>
    <col min="7165" max="7165" width="28.25" style="1" customWidth="1"/>
    <col min="7166" max="7166" width="34.125" style="1" customWidth="1"/>
    <col min="7167" max="7167" width="12.125" style="1" customWidth="1"/>
    <col min="7168" max="7168" width="10.625" style="1" customWidth="1"/>
    <col min="7169" max="7169" width="11.75" style="1" customWidth="1"/>
    <col min="7170" max="7170" width="10.25" style="1" customWidth="1"/>
    <col min="7171" max="7171" width="13.125" style="1" customWidth="1"/>
    <col min="7172" max="7172" width="16.25" style="1" customWidth="1"/>
    <col min="7173" max="7420" width="6.875" style="1"/>
    <col min="7421" max="7421" width="28.25" style="1" customWidth="1"/>
    <col min="7422" max="7422" width="34.125" style="1" customWidth="1"/>
    <col min="7423" max="7423" width="12.125" style="1" customWidth="1"/>
    <col min="7424" max="7424" width="10.625" style="1" customWidth="1"/>
    <col min="7425" max="7425" width="11.75" style="1" customWidth="1"/>
    <col min="7426" max="7426" width="10.25" style="1" customWidth="1"/>
    <col min="7427" max="7427" width="13.125" style="1" customWidth="1"/>
    <col min="7428" max="7428" width="16.25" style="1" customWidth="1"/>
    <col min="7429" max="7676" width="6.875" style="1"/>
    <col min="7677" max="7677" width="28.25" style="1" customWidth="1"/>
    <col min="7678" max="7678" width="34.125" style="1" customWidth="1"/>
    <col min="7679" max="7679" width="12.125" style="1" customWidth="1"/>
    <col min="7680" max="7680" width="10.625" style="1" customWidth="1"/>
    <col min="7681" max="7681" width="11.75" style="1" customWidth="1"/>
    <col min="7682" max="7682" width="10.25" style="1" customWidth="1"/>
    <col min="7683" max="7683" width="13.125" style="1" customWidth="1"/>
    <col min="7684" max="7684" width="16.25" style="1" customWidth="1"/>
    <col min="7685" max="7932" width="6.875" style="1"/>
    <col min="7933" max="7933" width="28.25" style="1" customWidth="1"/>
    <col min="7934" max="7934" width="34.125" style="1" customWidth="1"/>
    <col min="7935" max="7935" width="12.125" style="1" customWidth="1"/>
    <col min="7936" max="7936" width="10.625" style="1" customWidth="1"/>
    <col min="7937" max="7937" width="11.75" style="1" customWidth="1"/>
    <col min="7938" max="7938" width="10.25" style="1" customWidth="1"/>
    <col min="7939" max="7939" width="13.125" style="1" customWidth="1"/>
    <col min="7940" max="7940" width="16.25" style="1" customWidth="1"/>
    <col min="7941" max="8188" width="6.875" style="1"/>
    <col min="8189" max="8189" width="28.25" style="1" customWidth="1"/>
    <col min="8190" max="8190" width="34.125" style="1" customWidth="1"/>
    <col min="8191" max="8191" width="12.125" style="1" customWidth="1"/>
    <col min="8192" max="8192" width="10.625" style="1" customWidth="1"/>
    <col min="8193" max="8193" width="11.75" style="1" customWidth="1"/>
    <col min="8194" max="8194" width="10.25" style="1" customWidth="1"/>
    <col min="8195" max="8195" width="13.125" style="1" customWidth="1"/>
    <col min="8196" max="8196" width="16.25" style="1" customWidth="1"/>
    <col min="8197" max="8444" width="6.875" style="1"/>
    <col min="8445" max="8445" width="28.25" style="1" customWidth="1"/>
    <col min="8446" max="8446" width="34.125" style="1" customWidth="1"/>
    <col min="8447" max="8447" width="12.125" style="1" customWidth="1"/>
    <col min="8448" max="8448" width="10.625" style="1" customWidth="1"/>
    <col min="8449" max="8449" width="11.75" style="1" customWidth="1"/>
    <col min="8450" max="8450" width="10.25" style="1" customWidth="1"/>
    <col min="8451" max="8451" width="13.125" style="1" customWidth="1"/>
    <col min="8452" max="8452" width="16.25" style="1" customWidth="1"/>
    <col min="8453" max="8700" width="6.875" style="1"/>
    <col min="8701" max="8701" width="28.25" style="1" customWidth="1"/>
    <col min="8702" max="8702" width="34.125" style="1" customWidth="1"/>
    <col min="8703" max="8703" width="12.125" style="1" customWidth="1"/>
    <col min="8704" max="8704" width="10.625" style="1" customWidth="1"/>
    <col min="8705" max="8705" width="11.75" style="1" customWidth="1"/>
    <col min="8706" max="8706" width="10.25" style="1" customWidth="1"/>
    <col min="8707" max="8707" width="13.125" style="1" customWidth="1"/>
    <col min="8708" max="8708" width="16.25" style="1" customWidth="1"/>
    <col min="8709" max="8956" width="6.875" style="1"/>
    <col min="8957" max="8957" width="28.25" style="1" customWidth="1"/>
    <col min="8958" max="8958" width="34.125" style="1" customWidth="1"/>
    <col min="8959" max="8959" width="12.125" style="1" customWidth="1"/>
    <col min="8960" max="8960" width="10.625" style="1" customWidth="1"/>
    <col min="8961" max="8961" width="11.75" style="1" customWidth="1"/>
    <col min="8962" max="8962" width="10.25" style="1" customWidth="1"/>
    <col min="8963" max="8963" width="13.125" style="1" customWidth="1"/>
    <col min="8964" max="8964" width="16.25" style="1" customWidth="1"/>
    <col min="8965" max="9212" width="6.875" style="1"/>
    <col min="9213" max="9213" width="28.25" style="1" customWidth="1"/>
    <col min="9214" max="9214" width="34.125" style="1" customWidth="1"/>
    <col min="9215" max="9215" width="12.125" style="1" customWidth="1"/>
    <col min="9216" max="9216" width="10.625" style="1" customWidth="1"/>
    <col min="9217" max="9217" width="11.75" style="1" customWidth="1"/>
    <col min="9218" max="9218" width="10.25" style="1" customWidth="1"/>
    <col min="9219" max="9219" width="13.125" style="1" customWidth="1"/>
    <col min="9220" max="9220" width="16.25" style="1" customWidth="1"/>
    <col min="9221" max="9468" width="6.875" style="1"/>
    <col min="9469" max="9469" width="28.25" style="1" customWidth="1"/>
    <col min="9470" max="9470" width="34.125" style="1" customWidth="1"/>
    <col min="9471" max="9471" width="12.125" style="1" customWidth="1"/>
    <col min="9472" max="9472" width="10.625" style="1" customWidth="1"/>
    <col min="9473" max="9473" width="11.75" style="1" customWidth="1"/>
    <col min="9474" max="9474" width="10.25" style="1" customWidth="1"/>
    <col min="9475" max="9475" width="13.125" style="1" customWidth="1"/>
    <col min="9476" max="9476" width="16.25" style="1" customWidth="1"/>
    <col min="9477" max="9724" width="6.875" style="1"/>
    <col min="9725" max="9725" width="28.25" style="1" customWidth="1"/>
    <col min="9726" max="9726" width="34.125" style="1" customWidth="1"/>
    <col min="9727" max="9727" width="12.125" style="1" customWidth="1"/>
    <col min="9728" max="9728" width="10.625" style="1" customWidth="1"/>
    <col min="9729" max="9729" width="11.75" style="1" customWidth="1"/>
    <col min="9730" max="9730" width="10.25" style="1" customWidth="1"/>
    <col min="9731" max="9731" width="13.125" style="1" customWidth="1"/>
    <col min="9732" max="9732" width="16.25" style="1" customWidth="1"/>
    <col min="9733" max="9980" width="6.875" style="1"/>
    <col min="9981" max="9981" width="28.25" style="1" customWidth="1"/>
    <col min="9982" max="9982" width="34.125" style="1" customWidth="1"/>
    <col min="9983" max="9983" width="12.125" style="1" customWidth="1"/>
    <col min="9984" max="9984" width="10.625" style="1" customWidth="1"/>
    <col min="9985" max="9985" width="11.75" style="1" customWidth="1"/>
    <col min="9986" max="9986" width="10.25" style="1" customWidth="1"/>
    <col min="9987" max="9987" width="13.125" style="1" customWidth="1"/>
    <col min="9988" max="9988" width="16.25" style="1" customWidth="1"/>
    <col min="9989" max="10236" width="6.875" style="1"/>
    <col min="10237" max="10237" width="28.25" style="1" customWidth="1"/>
    <col min="10238" max="10238" width="34.125" style="1" customWidth="1"/>
    <col min="10239" max="10239" width="12.125" style="1" customWidth="1"/>
    <col min="10240" max="10240" width="10.625" style="1" customWidth="1"/>
    <col min="10241" max="10241" width="11.75" style="1" customWidth="1"/>
    <col min="10242" max="10242" width="10.25" style="1" customWidth="1"/>
    <col min="10243" max="10243" width="13.125" style="1" customWidth="1"/>
    <col min="10244" max="10244" width="16.25" style="1" customWidth="1"/>
    <col min="10245" max="10492" width="6.875" style="1"/>
    <col min="10493" max="10493" width="28.25" style="1" customWidth="1"/>
    <col min="10494" max="10494" width="34.125" style="1" customWidth="1"/>
    <col min="10495" max="10495" width="12.125" style="1" customWidth="1"/>
    <col min="10496" max="10496" width="10.625" style="1" customWidth="1"/>
    <col min="10497" max="10497" width="11.75" style="1" customWidth="1"/>
    <col min="10498" max="10498" width="10.25" style="1" customWidth="1"/>
    <col min="10499" max="10499" width="13.125" style="1" customWidth="1"/>
    <col min="10500" max="10500" width="16.25" style="1" customWidth="1"/>
    <col min="10501" max="10748" width="6.875" style="1"/>
    <col min="10749" max="10749" width="28.25" style="1" customWidth="1"/>
    <col min="10750" max="10750" width="34.125" style="1" customWidth="1"/>
    <col min="10751" max="10751" width="12.125" style="1" customWidth="1"/>
    <col min="10752" max="10752" width="10.625" style="1" customWidth="1"/>
    <col min="10753" max="10753" width="11.75" style="1" customWidth="1"/>
    <col min="10754" max="10754" width="10.25" style="1" customWidth="1"/>
    <col min="10755" max="10755" width="13.125" style="1" customWidth="1"/>
    <col min="10756" max="10756" width="16.25" style="1" customWidth="1"/>
    <col min="10757" max="11004" width="6.875" style="1"/>
    <col min="11005" max="11005" width="28.25" style="1" customWidth="1"/>
    <col min="11006" max="11006" width="34.125" style="1" customWidth="1"/>
    <col min="11007" max="11007" width="12.125" style="1" customWidth="1"/>
    <col min="11008" max="11008" width="10.625" style="1" customWidth="1"/>
    <col min="11009" max="11009" width="11.75" style="1" customWidth="1"/>
    <col min="11010" max="11010" width="10.25" style="1" customWidth="1"/>
    <col min="11011" max="11011" width="13.125" style="1" customWidth="1"/>
    <col min="11012" max="11012" width="16.25" style="1" customWidth="1"/>
    <col min="11013" max="11260" width="6.875" style="1"/>
    <col min="11261" max="11261" width="28.25" style="1" customWidth="1"/>
    <col min="11262" max="11262" width="34.125" style="1" customWidth="1"/>
    <col min="11263" max="11263" width="12.125" style="1" customWidth="1"/>
    <col min="11264" max="11264" width="10.625" style="1" customWidth="1"/>
    <col min="11265" max="11265" width="11.75" style="1" customWidth="1"/>
    <col min="11266" max="11266" width="10.25" style="1" customWidth="1"/>
    <col min="11267" max="11267" width="13.125" style="1" customWidth="1"/>
    <col min="11268" max="11268" width="16.25" style="1" customWidth="1"/>
    <col min="11269" max="11516" width="6.875" style="1"/>
    <col min="11517" max="11517" width="28.25" style="1" customWidth="1"/>
    <col min="11518" max="11518" width="34.125" style="1" customWidth="1"/>
    <col min="11519" max="11519" width="12.125" style="1" customWidth="1"/>
    <col min="11520" max="11520" width="10.625" style="1" customWidth="1"/>
    <col min="11521" max="11521" width="11.75" style="1" customWidth="1"/>
    <col min="11522" max="11522" width="10.25" style="1" customWidth="1"/>
    <col min="11523" max="11523" width="13.125" style="1" customWidth="1"/>
    <col min="11524" max="11524" width="16.25" style="1" customWidth="1"/>
    <col min="11525" max="11772" width="6.875" style="1"/>
    <col min="11773" max="11773" width="28.25" style="1" customWidth="1"/>
    <col min="11774" max="11774" width="34.125" style="1" customWidth="1"/>
    <col min="11775" max="11775" width="12.125" style="1" customWidth="1"/>
    <col min="11776" max="11776" width="10.625" style="1" customWidth="1"/>
    <col min="11777" max="11777" width="11.75" style="1" customWidth="1"/>
    <col min="11778" max="11778" width="10.25" style="1" customWidth="1"/>
    <col min="11779" max="11779" width="13.125" style="1" customWidth="1"/>
    <col min="11780" max="11780" width="16.25" style="1" customWidth="1"/>
    <col min="11781" max="12028" width="6.875" style="1"/>
    <col min="12029" max="12029" width="28.25" style="1" customWidth="1"/>
    <col min="12030" max="12030" width="34.125" style="1" customWidth="1"/>
    <col min="12031" max="12031" width="12.125" style="1" customWidth="1"/>
    <col min="12032" max="12032" width="10.625" style="1" customWidth="1"/>
    <col min="12033" max="12033" width="11.75" style="1" customWidth="1"/>
    <col min="12034" max="12034" width="10.25" style="1" customWidth="1"/>
    <col min="12035" max="12035" width="13.125" style="1" customWidth="1"/>
    <col min="12036" max="12036" width="16.25" style="1" customWidth="1"/>
    <col min="12037" max="12284" width="6.875" style="1"/>
    <col min="12285" max="12285" width="28.25" style="1" customWidth="1"/>
    <col min="12286" max="12286" width="34.125" style="1" customWidth="1"/>
    <col min="12287" max="12287" width="12.125" style="1" customWidth="1"/>
    <col min="12288" max="12288" width="10.625" style="1" customWidth="1"/>
    <col min="12289" max="12289" width="11.75" style="1" customWidth="1"/>
    <col min="12290" max="12290" width="10.25" style="1" customWidth="1"/>
    <col min="12291" max="12291" width="13.125" style="1" customWidth="1"/>
    <col min="12292" max="12292" width="16.25" style="1" customWidth="1"/>
    <col min="12293" max="12540" width="6.875" style="1"/>
    <col min="12541" max="12541" width="28.25" style="1" customWidth="1"/>
    <col min="12542" max="12542" width="34.125" style="1" customWidth="1"/>
    <col min="12543" max="12543" width="12.125" style="1" customWidth="1"/>
    <col min="12544" max="12544" width="10.625" style="1" customWidth="1"/>
    <col min="12545" max="12545" width="11.75" style="1" customWidth="1"/>
    <col min="12546" max="12546" width="10.25" style="1" customWidth="1"/>
    <col min="12547" max="12547" width="13.125" style="1" customWidth="1"/>
    <col min="12548" max="12548" width="16.25" style="1" customWidth="1"/>
    <col min="12549" max="12796" width="6.875" style="1"/>
    <col min="12797" max="12797" width="28.25" style="1" customWidth="1"/>
    <col min="12798" max="12798" width="34.125" style="1" customWidth="1"/>
    <col min="12799" max="12799" width="12.125" style="1" customWidth="1"/>
    <col min="12800" max="12800" width="10.625" style="1" customWidth="1"/>
    <col min="12801" max="12801" width="11.75" style="1" customWidth="1"/>
    <col min="12802" max="12802" width="10.25" style="1" customWidth="1"/>
    <col min="12803" max="12803" width="13.125" style="1" customWidth="1"/>
    <col min="12804" max="12804" width="16.25" style="1" customWidth="1"/>
    <col min="12805" max="13052" width="6.875" style="1"/>
    <col min="13053" max="13053" width="28.25" style="1" customWidth="1"/>
    <col min="13054" max="13054" width="34.125" style="1" customWidth="1"/>
    <col min="13055" max="13055" width="12.125" style="1" customWidth="1"/>
    <col min="13056" max="13056" width="10.625" style="1" customWidth="1"/>
    <col min="13057" max="13057" width="11.75" style="1" customWidth="1"/>
    <col min="13058" max="13058" width="10.25" style="1" customWidth="1"/>
    <col min="13059" max="13059" width="13.125" style="1" customWidth="1"/>
    <col min="13060" max="13060" width="16.25" style="1" customWidth="1"/>
    <col min="13061" max="13308" width="6.875" style="1"/>
    <col min="13309" max="13309" width="28.25" style="1" customWidth="1"/>
    <col min="13310" max="13310" width="34.125" style="1" customWidth="1"/>
    <col min="13311" max="13311" width="12.125" style="1" customWidth="1"/>
    <col min="13312" max="13312" width="10.625" style="1" customWidth="1"/>
    <col min="13313" max="13313" width="11.75" style="1" customWidth="1"/>
    <col min="13314" max="13314" width="10.25" style="1" customWidth="1"/>
    <col min="13315" max="13315" width="13.125" style="1" customWidth="1"/>
    <col min="13316" max="13316" width="16.25" style="1" customWidth="1"/>
    <col min="13317" max="13564" width="6.875" style="1"/>
    <col min="13565" max="13565" width="28.25" style="1" customWidth="1"/>
    <col min="13566" max="13566" width="34.125" style="1" customWidth="1"/>
    <col min="13567" max="13567" width="12.125" style="1" customWidth="1"/>
    <col min="13568" max="13568" width="10.625" style="1" customWidth="1"/>
    <col min="13569" max="13569" width="11.75" style="1" customWidth="1"/>
    <col min="13570" max="13570" width="10.25" style="1" customWidth="1"/>
    <col min="13571" max="13571" width="13.125" style="1" customWidth="1"/>
    <col min="13572" max="13572" width="16.25" style="1" customWidth="1"/>
    <col min="13573" max="13820" width="6.875" style="1"/>
    <col min="13821" max="13821" width="28.25" style="1" customWidth="1"/>
    <col min="13822" max="13822" width="34.125" style="1" customWidth="1"/>
    <col min="13823" max="13823" width="12.125" style="1" customWidth="1"/>
    <col min="13824" max="13824" width="10.625" style="1" customWidth="1"/>
    <col min="13825" max="13825" width="11.75" style="1" customWidth="1"/>
    <col min="13826" max="13826" width="10.25" style="1" customWidth="1"/>
    <col min="13827" max="13827" width="13.125" style="1" customWidth="1"/>
    <col min="13828" max="13828" width="16.25" style="1" customWidth="1"/>
    <col min="13829" max="14076" width="6.875" style="1"/>
    <col min="14077" max="14077" width="28.25" style="1" customWidth="1"/>
    <col min="14078" max="14078" width="34.125" style="1" customWidth="1"/>
    <col min="14079" max="14079" width="12.125" style="1" customWidth="1"/>
    <col min="14080" max="14080" width="10.625" style="1" customWidth="1"/>
    <col min="14081" max="14081" width="11.75" style="1" customWidth="1"/>
    <col min="14082" max="14082" width="10.25" style="1" customWidth="1"/>
    <col min="14083" max="14083" width="13.125" style="1" customWidth="1"/>
    <col min="14084" max="14084" width="16.25" style="1" customWidth="1"/>
    <col min="14085" max="14332" width="6.875" style="1"/>
    <col min="14333" max="14333" width="28.25" style="1" customWidth="1"/>
    <col min="14334" max="14334" width="34.125" style="1" customWidth="1"/>
    <col min="14335" max="14335" width="12.125" style="1" customWidth="1"/>
    <col min="14336" max="14336" width="10.625" style="1" customWidth="1"/>
    <col min="14337" max="14337" width="11.75" style="1" customWidth="1"/>
    <col min="14338" max="14338" width="10.25" style="1" customWidth="1"/>
    <col min="14339" max="14339" width="13.125" style="1" customWidth="1"/>
    <col min="14340" max="14340" width="16.25" style="1" customWidth="1"/>
    <col min="14341" max="14588" width="6.875" style="1"/>
    <col min="14589" max="14589" width="28.25" style="1" customWidth="1"/>
    <col min="14590" max="14590" width="34.125" style="1" customWidth="1"/>
    <col min="14591" max="14591" width="12.125" style="1" customWidth="1"/>
    <col min="14592" max="14592" width="10.625" style="1" customWidth="1"/>
    <col min="14593" max="14593" width="11.75" style="1" customWidth="1"/>
    <col min="14594" max="14594" width="10.25" style="1" customWidth="1"/>
    <col min="14595" max="14595" width="13.125" style="1" customWidth="1"/>
    <col min="14596" max="14596" width="16.25" style="1" customWidth="1"/>
    <col min="14597" max="14844" width="6.875" style="1"/>
    <col min="14845" max="14845" width="28.25" style="1" customWidth="1"/>
    <col min="14846" max="14846" width="34.125" style="1" customWidth="1"/>
    <col min="14847" max="14847" width="12.125" style="1" customWidth="1"/>
    <col min="14848" max="14848" width="10.625" style="1" customWidth="1"/>
    <col min="14849" max="14849" width="11.75" style="1" customWidth="1"/>
    <col min="14850" max="14850" width="10.25" style="1" customWidth="1"/>
    <col min="14851" max="14851" width="13.125" style="1" customWidth="1"/>
    <col min="14852" max="14852" width="16.25" style="1" customWidth="1"/>
    <col min="14853" max="15100" width="6.875" style="1"/>
    <col min="15101" max="15101" width="28.25" style="1" customWidth="1"/>
    <col min="15102" max="15102" width="34.125" style="1" customWidth="1"/>
    <col min="15103" max="15103" width="12.125" style="1" customWidth="1"/>
    <col min="15104" max="15104" width="10.625" style="1" customWidth="1"/>
    <col min="15105" max="15105" width="11.75" style="1" customWidth="1"/>
    <col min="15106" max="15106" width="10.25" style="1" customWidth="1"/>
    <col min="15107" max="15107" width="13.125" style="1" customWidth="1"/>
    <col min="15108" max="15108" width="16.25" style="1" customWidth="1"/>
    <col min="15109" max="15356" width="6.875" style="1"/>
    <col min="15357" max="15357" width="28.25" style="1" customWidth="1"/>
    <col min="15358" max="15358" width="34.125" style="1" customWidth="1"/>
    <col min="15359" max="15359" width="12.125" style="1" customWidth="1"/>
    <col min="15360" max="15360" width="10.625" style="1" customWidth="1"/>
    <col min="15361" max="15361" width="11.75" style="1" customWidth="1"/>
    <col min="15362" max="15362" width="10.25" style="1" customWidth="1"/>
    <col min="15363" max="15363" width="13.125" style="1" customWidth="1"/>
    <col min="15364" max="15364" width="16.25" style="1" customWidth="1"/>
    <col min="15365" max="15612" width="6.875" style="1"/>
    <col min="15613" max="15613" width="28.25" style="1" customWidth="1"/>
    <col min="15614" max="15614" width="34.125" style="1" customWidth="1"/>
    <col min="15615" max="15615" width="12.125" style="1" customWidth="1"/>
    <col min="15616" max="15616" width="10.625" style="1" customWidth="1"/>
    <col min="15617" max="15617" width="11.75" style="1" customWidth="1"/>
    <col min="15618" max="15618" width="10.25" style="1" customWidth="1"/>
    <col min="15619" max="15619" width="13.125" style="1" customWidth="1"/>
    <col min="15620" max="15620" width="16.25" style="1" customWidth="1"/>
    <col min="15621" max="15868" width="6.875" style="1"/>
    <col min="15869" max="15869" width="28.25" style="1" customWidth="1"/>
    <col min="15870" max="15870" width="34.125" style="1" customWidth="1"/>
    <col min="15871" max="15871" width="12.125" style="1" customWidth="1"/>
    <col min="15872" max="15872" width="10.625" style="1" customWidth="1"/>
    <col min="15873" max="15873" width="11.75" style="1" customWidth="1"/>
    <col min="15874" max="15874" width="10.25" style="1" customWidth="1"/>
    <col min="15875" max="15875" width="13.125" style="1" customWidth="1"/>
    <col min="15876" max="15876" width="16.25" style="1" customWidth="1"/>
    <col min="15877" max="16124" width="6.875" style="1"/>
    <col min="16125" max="16125" width="28.25" style="1" customWidth="1"/>
    <col min="16126" max="16126" width="34.125" style="1" customWidth="1"/>
    <col min="16127" max="16127" width="12.125" style="1" customWidth="1"/>
    <col min="16128" max="16128" width="10.625" style="1" customWidth="1"/>
    <col min="16129" max="16129" width="11.75" style="1" customWidth="1"/>
    <col min="16130" max="16130" width="10.25" style="1" customWidth="1"/>
    <col min="16131" max="16131" width="13.125" style="1" customWidth="1"/>
    <col min="16132" max="16132" width="16.25" style="1" customWidth="1"/>
    <col min="16133" max="16384" width="6.875" style="1"/>
  </cols>
  <sheetData>
    <row r="1" spans="1:8" ht="33.75" customHeight="1" x14ac:dyDescent="0.4">
      <c r="A1" s="3400" t="s">
        <v>0</v>
      </c>
      <c r="B1" s="3400"/>
      <c r="C1" s="3400"/>
      <c r="D1" s="3400"/>
      <c r="E1" s="3400"/>
      <c r="F1" s="3400"/>
      <c r="G1" s="3400"/>
      <c r="H1" s="3400"/>
    </row>
    <row r="2" spans="1:8" ht="24" customHeight="1" thickBot="1" x14ac:dyDescent="0.45">
      <c r="A2" s="3401" t="s">
        <v>1</v>
      </c>
      <c r="B2" s="3401"/>
      <c r="C2" s="3401"/>
      <c r="D2" s="3401"/>
      <c r="E2" s="3401"/>
      <c r="F2" s="3401"/>
      <c r="G2" s="3401"/>
      <c r="H2" s="3401"/>
    </row>
    <row r="3" spans="1:8" ht="33.75" customHeight="1" thickBot="1" x14ac:dyDescent="0.45">
      <c r="A3" s="3402" t="s">
        <v>2</v>
      </c>
      <c r="B3" s="3404" t="s">
        <v>1920</v>
      </c>
      <c r="C3" s="3404" t="s">
        <v>1921</v>
      </c>
      <c r="D3" s="3406" t="s">
        <v>4</v>
      </c>
      <c r="E3" s="3406"/>
      <c r="F3" s="3406"/>
      <c r="G3" s="3404" t="s">
        <v>5</v>
      </c>
      <c r="H3" s="3407" t="s">
        <v>6</v>
      </c>
    </row>
    <row r="4" spans="1:8" ht="46.5" customHeight="1" thickBot="1" x14ac:dyDescent="0.45">
      <c r="A4" s="3403"/>
      <c r="B4" s="3405"/>
      <c r="C4" s="3405"/>
      <c r="D4" s="1995" t="s">
        <v>7</v>
      </c>
      <c r="E4" s="1995" t="s">
        <v>8</v>
      </c>
      <c r="F4" s="1996" t="s">
        <v>9</v>
      </c>
      <c r="G4" s="3405"/>
      <c r="H4" s="3408"/>
    </row>
    <row r="5" spans="1:8" ht="24" customHeight="1" x14ac:dyDescent="0.4">
      <c r="A5" s="2004" t="s">
        <v>10</v>
      </c>
      <c r="B5" s="2">
        <v>1723977</v>
      </c>
      <c r="C5" s="2">
        <v>1723977</v>
      </c>
      <c r="D5" s="2">
        <v>2218403.2204539999</v>
      </c>
      <c r="E5" s="1990">
        <v>0</v>
      </c>
      <c r="F5" s="2">
        <f t="shared" ref="F5:F29" si="0">+E5+D5</f>
        <v>2218403.2204539999</v>
      </c>
      <c r="G5" s="3">
        <f t="shared" ref="G5:G26" si="1">F5/B5</f>
        <v>1.2867939772131531</v>
      </c>
      <c r="H5" s="4">
        <f t="shared" ref="H5:H30" si="2">F5/C5</f>
        <v>1.2867939772131531</v>
      </c>
    </row>
    <row r="6" spans="1:8" ht="24" customHeight="1" x14ac:dyDescent="0.4">
      <c r="A6" s="2005" t="s">
        <v>11</v>
      </c>
      <c r="B6" s="5">
        <v>8727840</v>
      </c>
      <c r="C6" s="5">
        <v>16447840</v>
      </c>
      <c r="D6" s="5">
        <v>18172171.300363999</v>
      </c>
      <c r="E6" s="1991">
        <v>0</v>
      </c>
      <c r="F6" s="5">
        <f t="shared" si="0"/>
        <v>18172171.300363999</v>
      </c>
      <c r="G6" s="6">
        <f t="shared" si="1"/>
        <v>2.0820926254793855</v>
      </c>
      <c r="H6" s="7">
        <f t="shared" si="2"/>
        <v>1.104836337194671</v>
      </c>
    </row>
    <row r="7" spans="1:8" ht="24" customHeight="1" x14ac:dyDescent="0.4">
      <c r="A7" s="2005" t="s">
        <v>12</v>
      </c>
      <c r="B7" s="5">
        <v>17834874</v>
      </c>
      <c r="C7" s="5">
        <v>94408974</v>
      </c>
      <c r="D7" s="5">
        <v>72262626.312235996</v>
      </c>
      <c r="E7" s="1991">
        <v>0</v>
      </c>
      <c r="F7" s="5">
        <f t="shared" si="0"/>
        <v>72262626.312235996</v>
      </c>
      <c r="G7" s="6">
        <f t="shared" si="1"/>
        <v>4.0517598449103707</v>
      </c>
      <c r="H7" s="7">
        <f t="shared" si="2"/>
        <v>0.76542115913934194</v>
      </c>
    </row>
    <row r="8" spans="1:8" ht="24" customHeight="1" x14ac:dyDescent="0.4">
      <c r="A8" s="2005" t="s">
        <v>13</v>
      </c>
      <c r="B8" s="5">
        <v>912886</v>
      </c>
      <c r="C8" s="5">
        <v>912886</v>
      </c>
      <c r="D8" s="5">
        <v>1108125.57</v>
      </c>
      <c r="E8" s="1991">
        <v>0</v>
      </c>
      <c r="F8" s="5">
        <f t="shared" si="0"/>
        <v>1108125.57</v>
      </c>
      <c r="G8" s="6">
        <f t="shared" si="1"/>
        <v>1.2138707023659034</v>
      </c>
      <c r="H8" s="7">
        <f t="shared" si="2"/>
        <v>1.2138707023659034</v>
      </c>
    </row>
    <row r="9" spans="1:8" ht="24" customHeight="1" x14ac:dyDescent="0.4">
      <c r="A9" s="2006" t="s">
        <v>14</v>
      </c>
      <c r="B9" s="5">
        <v>17483594</v>
      </c>
      <c r="C9" s="5">
        <v>20376594</v>
      </c>
      <c r="D9" s="5">
        <v>25321326.912843999</v>
      </c>
      <c r="E9" s="1991">
        <v>0</v>
      </c>
      <c r="F9" s="5">
        <f t="shared" si="0"/>
        <v>25321326.912843999</v>
      </c>
      <c r="G9" s="6">
        <f t="shared" si="1"/>
        <v>1.4482907183067737</v>
      </c>
      <c r="H9" s="7">
        <f t="shared" si="2"/>
        <v>1.2426672933093725</v>
      </c>
    </row>
    <row r="10" spans="1:8" ht="24" customHeight="1" x14ac:dyDescent="0.4">
      <c r="A10" s="2006" t="s">
        <v>15</v>
      </c>
      <c r="B10" s="5">
        <v>376813</v>
      </c>
      <c r="C10" s="5">
        <v>376813</v>
      </c>
      <c r="D10" s="5">
        <v>0</v>
      </c>
      <c r="E10" s="1991">
        <v>0</v>
      </c>
      <c r="F10" s="5">
        <f t="shared" si="0"/>
        <v>0</v>
      </c>
      <c r="G10" s="6">
        <f t="shared" si="1"/>
        <v>0</v>
      </c>
      <c r="H10" s="7">
        <f t="shared" si="2"/>
        <v>0</v>
      </c>
    </row>
    <row r="11" spans="1:8" ht="24" customHeight="1" x14ac:dyDescent="0.4">
      <c r="A11" s="2006" t="s">
        <v>16</v>
      </c>
      <c r="B11" s="5">
        <v>9</v>
      </c>
      <c r="C11" s="5">
        <v>9</v>
      </c>
      <c r="D11" s="5">
        <v>0</v>
      </c>
      <c r="E11" s="1991">
        <v>0</v>
      </c>
      <c r="F11" s="5">
        <f t="shared" si="0"/>
        <v>0</v>
      </c>
      <c r="G11" s="6">
        <f t="shared" si="1"/>
        <v>0</v>
      </c>
      <c r="H11" s="7">
        <f t="shared" si="2"/>
        <v>0</v>
      </c>
    </row>
    <row r="12" spans="1:8" ht="24" customHeight="1" x14ac:dyDescent="0.4">
      <c r="A12" s="2006" t="s">
        <v>17</v>
      </c>
      <c r="B12" s="5">
        <v>9</v>
      </c>
      <c r="C12" s="5">
        <v>9</v>
      </c>
      <c r="D12" s="5">
        <v>0</v>
      </c>
      <c r="E12" s="1991">
        <v>0</v>
      </c>
      <c r="F12" s="5">
        <f t="shared" si="0"/>
        <v>0</v>
      </c>
      <c r="G12" s="6">
        <f t="shared" si="1"/>
        <v>0</v>
      </c>
      <c r="H12" s="7">
        <f t="shared" si="2"/>
        <v>0</v>
      </c>
    </row>
    <row r="13" spans="1:8" ht="24" customHeight="1" x14ac:dyDescent="0.4">
      <c r="A13" s="2006" t="s">
        <v>18</v>
      </c>
      <c r="B13" s="5">
        <v>9</v>
      </c>
      <c r="C13" s="5">
        <v>9</v>
      </c>
      <c r="D13" s="5">
        <v>0</v>
      </c>
      <c r="E13" s="1991">
        <v>0</v>
      </c>
      <c r="F13" s="5">
        <f t="shared" si="0"/>
        <v>0</v>
      </c>
      <c r="G13" s="6">
        <f t="shared" si="1"/>
        <v>0</v>
      </c>
      <c r="H13" s="7">
        <f t="shared" si="2"/>
        <v>0</v>
      </c>
    </row>
    <row r="14" spans="1:8" ht="24" customHeight="1" x14ac:dyDescent="0.4">
      <c r="A14" s="2006" t="s">
        <v>19</v>
      </c>
      <c r="B14" s="5">
        <v>9</v>
      </c>
      <c r="C14" s="5">
        <v>9</v>
      </c>
      <c r="D14" s="5">
        <v>0</v>
      </c>
      <c r="E14" s="1991">
        <v>0</v>
      </c>
      <c r="F14" s="5">
        <f t="shared" si="0"/>
        <v>0</v>
      </c>
      <c r="G14" s="6">
        <f t="shared" si="1"/>
        <v>0</v>
      </c>
      <c r="H14" s="7">
        <f t="shared" si="2"/>
        <v>0</v>
      </c>
    </row>
    <row r="15" spans="1:8" ht="26.25" customHeight="1" x14ac:dyDescent="0.4">
      <c r="A15" s="2005" t="s">
        <v>20</v>
      </c>
      <c r="B15" s="5">
        <v>9</v>
      </c>
      <c r="C15" s="5">
        <v>9</v>
      </c>
      <c r="D15" s="5">
        <v>0</v>
      </c>
      <c r="E15" s="1991">
        <v>0</v>
      </c>
      <c r="F15" s="5">
        <f t="shared" si="0"/>
        <v>0</v>
      </c>
      <c r="G15" s="6">
        <f t="shared" si="1"/>
        <v>0</v>
      </c>
      <c r="H15" s="7">
        <f t="shared" si="2"/>
        <v>0</v>
      </c>
    </row>
    <row r="16" spans="1:8" ht="26.25" customHeight="1" x14ac:dyDescent="0.4">
      <c r="A16" s="2007" t="s">
        <v>1922</v>
      </c>
      <c r="B16" s="5">
        <v>9</v>
      </c>
      <c r="C16" s="5">
        <v>9</v>
      </c>
      <c r="D16" s="5">
        <v>0</v>
      </c>
      <c r="E16" s="1991">
        <v>0</v>
      </c>
      <c r="F16" s="5">
        <f t="shared" si="0"/>
        <v>0</v>
      </c>
      <c r="G16" s="6">
        <f t="shared" si="1"/>
        <v>0</v>
      </c>
      <c r="H16" s="7">
        <f t="shared" si="2"/>
        <v>0</v>
      </c>
    </row>
    <row r="17" spans="1:8" ht="24" customHeight="1" x14ac:dyDescent="0.4">
      <c r="A17" s="2006" t="s">
        <v>21</v>
      </c>
      <c r="B17" s="5">
        <v>9</v>
      </c>
      <c r="C17" s="5">
        <v>9</v>
      </c>
      <c r="D17" s="5">
        <v>0</v>
      </c>
      <c r="E17" s="1991">
        <v>0</v>
      </c>
      <c r="F17" s="5">
        <f t="shared" si="0"/>
        <v>0</v>
      </c>
      <c r="G17" s="6">
        <f t="shared" si="1"/>
        <v>0</v>
      </c>
      <c r="H17" s="7">
        <f t="shared" si="2"/>
        <v>0</v>
      </c>
    </row>
    <row r="18" spans="1:8" ht="24" customHeight="1" x14ac:dyDescent="0.4">
      <c r="A18" s="2005" t="s">
        <v>22</v>
      </c>
      <c r="B18" s="5">
        <v>9</v>
      </c>
      <c r="C18" s="5">
        <v>9</v>
      </c>
      <c r="D18" s="5">
        <v>0</v>
      </c>
      <c r="E18" s="1991">
        <v>0</v>
      </c>
      <c r="F18" s="5">
        <f t="shared" si="0"/>
        <v>0</v>
      </c>
      <c r="G18" s="6">
        <f t="shared" si="1"/>
        <v>0</v>
      </c>
      <c r="H18" s="7">
        <f t="shared" si="2"/>
        <v>0</v>
      </c>
    </row>
    <row r="19" spans="1:8" ht="24" customHeight="1" x14ac:dyDescent="0.4">
      <c r="A19" s="2005" t="s">
        <v>23</v>
      </c>
      <c r="B19" s="5">
        <v>8209</v>
      </c>
      <c r="C19" s="5">
        <v>8209</v>
      </c>
      <c r="D19" s="5">
        <v>0</v>
      </c>
      <c r="E19" s="1991">
        <v>0</v>
      </c>
      <c r="F19" s="5">
        <f t="shared" si="0"/>
        <v>0</v>
      </c>
      <c r="G19" s="6">
        <f t="shared" si="1"/>
        <v>0</v>
      </c>
      <c r="H19" s="7">
        <f t="shared" si="2"/>
        <v>0</v>
      </c>
    </row>
    <row r="20" spans="1:8" ht="24" customHeight="1" x14ac:dyDescent="0.4">
      <c r="A20" s="2005" t="s">
        <v>24</v>
      </c>
      <c r="B20" s="5" t="s">
        <v>25</v>
      </c>
      <c r="C20" s="5" t="s">
        <v>25</v>
      </c>
      <c r="D20" s="5">
        <v>0</v>
      </c>
      <c r="E20" s="1991">
        <v>0</v>
      </c>
      <c r="F20" s="5">
        <f t="shared" si="0"/>
        <v>0</v>
      </c>
      <c r="G20" s="6">
        <v>0</v>
      </c>
      <c r="H20" s="7">
        <v>0</v>
      </c>
    </row>
    <row r="21" spans="1:8" ht="24" customHeight="1" x14ac:dyDescent="0.4">
      <c r="A21" s="2005" t="s">
        <v>26</v>
      </c>
      <c r="B21" s="5">
        <v>82095</v>
      </c>
      <c r="C21" s="5">
        <v>82095</v>
      </c>
      <c r="D21" s="5">
        <v>0</v>
      </c>
      <c r="E21" s="1991">
        <v>0</v>
      </c>
      <c r="F21" s="5">
        <f t="shared" si="0"/>
        <v>0</v>
      </c>
      <c r="G21" s="6">
        <f t="shared" si="1"/>
        <v>0</v>
      </c>
      <c r="H21" s="7">
        <f t="shared" si="2"/>
        <v>0</v>
      </c>
    </row>
    <row r="22" spans="1:8" ht="24" customHeight="1" x14ac:dyDescent="0.4">
      <c r="A22" s="2005" t="s">
        <v>27</v>
      </c>
      <c r="B22" s="5">
        <v>82095</v>
      </c>
      <c r="C22" s="5">
        <v>82095</v>
      </c>
      <c r="D22" s="5">
        <v>0</v>
      </c>
      <c r="E22" s="1991">
        <v>0</v>
      </c>
      <c r="F22" s="5">
        <f t="shared" si="0"/>
        <v>0</v>
      </c>
      <c r="G22" s="6">
        <f t="shared" si="1"/>
        <v>0</v>
      </c>
      <c r="H22" s="7">
        <f t="shared" si="2"/>
        <v>0</v>
      </c>
    </row>
    <row r="23" spans="1:8" ht="24" customHeight="1" x14ac:dyDescent="0.4">
      <c r="A23" s="2005" t="s">
        <v>28</v>
      </c>
      <c r="B23" s="5">
        <v>1000595</v>
      </c>
      <c r="C23" s="5">
        <v>7000595</v>
      </c>
      <c r="D23" s="5">
        <v>4422458.3327010004</v>
      </c>
      <c r="E23" s="1991">
        <v>0</v>
      </c>
      <c r="F23" s="5">
        <f t="shared" si="0"/>
        <v>4422458.3327010004</v>
      </c>
      <c r="G23" s="6">
        <f t="shared" si="1"/>
        <v>4.4198285347228401</v>
      </c>
      <c r="H23" s="7">
        <f t="shared" si="2"/>
        <v>0.63172606509889517</v>
      </c>
    </row>
    <row r="24" spans="1:8" ht="24" customHeight="1" x14ac:dyDescent="0.4">
      <c r="A24" s="2005" t="s">
        <v>29</v>
      </c>
      <c r="B24" s="5">
        <v>266405</v>
      </c>
      <c r="C24" s="5">
        <v>266405</v>
      </c>
      <c r="D24" s="5">
        <v>0</v>
      </c>
      <c r="E24" s="1991">
        <v>0</v>
      </c>
      <c r="F24" s="5">
        <f t="shared" si="0"/>
        <v>0</v>
      </c>
      <c r="G24" s="6">
        <f t="shared" si="1"/>
        <v>0</v>
      </c>
      <c r="H24" s="7">
        <f t="shared" si="2"/>
        <v>0</v>
      </c>
    </row>
    <row r="25" spans="1:8" ht="24" customHeight="1" x14ac:dyDescent="0.4">
      <c r="A25" s="2005" t="s">
        <v>30</v>
      </c>
      <c r="B25" s="5">
        <v>36943</v>
      </c>
      <c r="C25" s="5">
        <v>36943</v>
      </c>
      <c r="D25" s="5">
        <v>0</v>
      </c>
      <c r="E25" s="1991">
        <v>0</v>
      </c>
      <c r="F25" s="5">
        <f t="shared" si="0"/>
        <v>0</v>
      </c>
      <c r="G25" s="6">
        <f t="shared" si="1"/>
        <v>0</v>
      </c>
      <c r="H25" s="7">
        <f t="shared" si="2"/>
        <v>0</v>
      </c>
    </row>
    <row r="26" spans="1:8" ht="24" customHeight="1" x14ac:dyDescent="0.4">
      <c r="A26" s="2005" t="s">
        <v>31</v>
      </c>
      <c r="B26" s="5">
        <v>328376</v>
      </c>
      <c r="C26" s="5">
        <v>12718376</v>
      </c>
      <c r="D26" s="5">
        <v>2944458.442392</v>
      </c>
      <c r="E26" s="1991">
        <v>0</v>
      </c>
      <c r="F26" s="5">
        <f t="shared" si="0"/>
        <v>2944458.442392</v>
      </c>
      <c r="G26" s="6">
        <f t="shared" si="1"/>
        <v>8.9667285136307164</v>
      </c>
      <c r="H26" s="7">
        <f t="shared" si="2"/>
        <v>0.23151213978828744</v>
      </c>
    </row>
    <row r="27" spans="1:8" ht="24" customHeight="1" x14ac:dyDescent="0.4">
      <c r="A27" s="2005" t="s">
        <v>32</v>
      </c>
      <c r="B27" s="5" t="s">
        <v>25</v>
      </c>
      <c r="C27" s="5">
        <v>25000</v>
      </c>
      <c r="D27" s="5">
        <v>0</v>
      </c>
      <c r="E27" s="1991">
        <v>0</v>
      </c>
      <c r="F27" s="5">
        <f t="shared" si="0"/>
        <v>0</v>
      </c>
      <c r="G27" s="6">
        <v>0</v>
      </c>
      <c r="H27" s="7">
        <f t="shared" si="2"/>
        <v>0</v>
      </c>
    </row>
    <row r="28" spans="1:8" ht="24" customHeight="1" x14ac:dyDescent="0.4">
      <c r="A28" s="2008" t="s">
        <v>45</v>
      </c>
      <c r="B28" s="5" t="s">
        <v>25</v>
      </c>
      <c r="C28" s="5">
        <v>30000</v>
      </c>
      <c r="D28" s="5">
        <v>0</v>
      </c>
      <c r="E28" s="1991">
        <v>0</v>
      </c>
      <c r="F28" s="5">
        <f t="shared" si="0"/>
        <v>0</v>
      </c>
      <c r="G28" s="6">
        <v>0</v>
      </c>
      <c r="H28" s="7">
        <f t="shared" si="2"/>
        <v>0</v>
      </c>
    </row>
    <row r="29" spans="1:8" ht="33.75" customHeight="1" thickBot="1" x14ac:dyDescent="0.45">
      <c r="A29" s="2009" t="s">
        <v>44</v>
      </c>
      <c r="B29" s="1997" t="s">
        <v>25</v>
      </c>
      <c r="C29" s="1997">
        <v>59074</v>
      </c>
      <c r="D29" s="1997">
        <v>0</v>
      </c>
      <c r="E29" s="1998">
        <v>0</v>
      </c>
      <c r="F29" s="1997">
        <f t="shared" si="0"/>
        <v>0</v>
      </c>
      <c r="G29" s="16">
        <v>0</v>
      </c>
      <c r="H29" s="16">
        <f t="shared" si="2"/>
        <v>0</v>
      </c>
    </row>
    <row r="30" spans="1:8" s="8" customFormat="1" ht="27" customHeight="1" thickBot="1" x14ac:dyDescent="0.5">
      <c r="A30" s="1999" t="s">
        <v>33</v>
      </c>
      <c r="B30" s="2000">
        <f>SUM(B5:B29)</f>
        <v>48864774</v>
      </c>
      <c r="C30" s="2000">
        <f>SUM(C5:C29)</f>
        <v>154555948</v>
      </c>
      <c r="D30" s="2000">
        <f>SUM(D5:D29)</f>
        <v>126449570.09099099</v>
      </c>
      <c r="E30" s="2001">
        <v>0</v>
      </c>
      <c r="F30" s="2000">
        <f>SUM(F5:F29)</f>
        <v>126449570.09099099</v>
      </c>
      <c r="G30" s="2002">
        <f>F30/B30</f>
        <v>2.5877449078346499</v>
      </c>
      <c r="H30" s="2003">
        <f t="shared" si="2"/>
        <v>0.81814754933269207</v>
      </c>
    </row>
    <row r="31" spans="1:8" ht="16.5" customHeight="1" x14ac:dyDescent="0.4">
      <c r="A31" s="3395" t="s">
        <v>34</v>
      </c>
      <c r="B31" s="3395"/>
      <c r="C31" s="3395"/>
      <c r="D31" s="3395"/>
      <c r="E31" s="3395"/>
      <c r="F31" s="3395"/>
      <c r="G31" s="3395"/>
      <c r="H31" s="3395"/>
    </row>
    <row r="32" spans="1:8" ht="21" customHeight="1" x14ac:dyDescent="0.4">
      <c r="A32" s="3396" t="s">
        <v>35</v>
      </c>
      <c r="B32" s="3396"/>
      <c r="C32" s="3396"/>
      <c r="D32" s="3396"/>
      <c r="E32" s="3396"/>
      <c r="F32" s="3396"/>
      <c r="G32" s="3396"/>
      <c r="H32" s="3396"/>
    </row>
    <row r="33" spans="1:9" ht="23.25" customHeight="1" x14ac:dyDescent="0.4">
      <c r="A33" s="3397" t="s">
        <v>36</v>
      </c>
      <c r="B33" s="3397"/>
      <c r="C33" s="3397"/>
      <c r="D33" s="3397"/>
      <c r="E33" s="3397"/>
      <c r="F33" s="3397"/>
      <c r="G33" s="3397"/>
      <c r="H33" s="3397"/>
      <c r="I33" s="3398"/>
    </row>
    <row r="34" spans="1:9" ht="27.75" customHeight="1" x14ac:dyDescent="0.4">
      <c r="A34" s="3399"/>
      <c r="B34" s="3399"/>
      <c r="C34" s="3399"/>
      <c r="D34" s="3399"/>
      <c r="E34" s="3399"/>
      <c r="F34" s="3399"/>
      <c r="G34" s="3399"/>
      <c r="H34" s="3399"/>
      <c r="I34" s="3398"/>
    </row>
    <row r="35" spans="1:9" ht="33.75" customHeight="1" x14ac:dyDescent="0.5">
      <c r="I35" s="3398"/>
    </row>
  </sheetData>
  <mergeCells count="13">
    <mergeCell ref="A1:H1"/>
    <mergeCell ref="A2:H2"/>
    <mergeCell ref="A3:A4"/>
    <mergeCell ref="B3:B4"/>
    <mergeCell ref="C3:C4"/>
    <mergeCell ref="D3:F3"/>
    <mergeCell ref="G3:G4"/>
    <mergeCell ref="H3:H4"/>
    <mergeCell ref="A31:H31"/>
    <mergeCell ref="A32:H32"/>
    <mergeCell ref="A33:H33"/>
    <mergeCell ref="I33:I35"/>
    <mergeCell ref="A34:H34"/>
  </mergeCells>
  <printOptions horizontalCentered="1" verticalCentered="1"/>
  <pageMargins left="0.31496062992125984" right="0.35433070866141736" top="0.82677165354330717" bottom="0.98425196850393704" header="0.51181102362204722" footer="0.51181102362204722"/>
  <pageSetup paperSize="9" scale="71" firstPageNumber="112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00B050"/>
  </sheetPr>
  <dimension ref="A20:L36"/>
  <sheetViews>
    <sheetView rightToLeft="1" view="pageBreakPreview" zoomScale="115" zoomScaleNormal="100" zoomScaleSheetLayoutView="115" workbookViewId="0">
      <selection activeCell="B21" sqref="B21:H21"/>
    </sheetView>
  </sheetViews>
  <sheetFormatPr defaultColWidth="7" defaultRowHeight="15.75" x14ac:dyDescent="0.4"/>
  <cols>
    <col min="1" max="1" width="5.875" style="1" customWidth="1"/>
    <col min="2" max="2" width="7" style="1" customWidth="1"/>
    <col min="3" max="3" width="10" style="1" customWidth="1"/>
    <col min="4" max="6" width="13.75" style="1" customWidth="1"/>
    <col min="7" max="7" width="3.625" style="1" customWidth="1"/>
    <col min="8" max="8" width="10.375" style="1" customWidth="1"/>
    <col min="9" max="9" width="7" style="1" customWidth="1"/>
    <col min="10" max="16384" width="7" style="1"/>
  </cols>
  <sheetData>
    <row r="20" spans="1:8" ht="21" x14ac:dyDescent="0.55000000000000004">
      <c r="A20" s="3424" t="s">
        <v>37</v>
      </c>
      <c r="B20" s="3424"/>
      <c r="C20" s="3424"/>
      <c r="D20" s="3424"/>
      <c r="E20" s="3424"/>
      <c r="F20" s="3424"/>
      <c r="G20" s="3424"/>
      <c r="H20" s="3424"/>
    </row>
    <row r="21" spans="1:8" ht="15" customHeight="1" thickBot="1" x14ac:dyDescent="0.45">
      <c r="B21" s="3433" t="s">
        <v>1</v>
      </c>
      <c r="C21" s="3433"/>
      <c r="D21" s="3433"/>
      <c r="E21" s="3433"/>
      <c r="F21" s="3433"/>
      <c r="G21" s="3433"/>
      <c r="H21" s="3433"/>
    </row>
    <row r="22" spans="1:8" ht="43.5" customHeight="1" thickBot="1" x14ac:dyDescent="0.45">
      <c r="B22" s="3425" t="s">
        <v>38</v>
      </c>
      <c r="C22" s="3426"/>
      <c r="D22" s="2093" t="s">
        <v>3</v>
      </c>
      <c r="E22" s="2093" t="s">
        <v>39</v>
      </c>
      <c r="F22" s="2094" t="s">
        <v>40</v>
      </c>
      <c r="G22" s="3427" t="s">
        <v>41</v>
      </c>
      <c r="H22" s="3428"/>
    </row>
    <row r="23" spans="1:8" ht="21" x14ac:dyDescent="0.4">
      <c r="B23" s="3429">
        <v>1393</v>
      </c>
      <c r="C23" s="3430"/>
      <c r="D23" s="12">
        <v>5537233</v>
      </c>
      <c r="E23" s="12">
        <v>20361176</v>
      </c>
      <c r="F23" s="13">
        <v>11876040</v>
      </c>
      <c r="G23" s="3431">
        <f>F23/D23</f>
        <v>2.144760749637951</v>
      </c>
      <c r="H23" s="3432"/>
    </row>
    <row r="24" spans="1:8" ht="21" x14ac:dyDescent="0.4">
      <c r="B24" s="3416">
        <v>1394</v>
      </c>
      <c r="C24" s="3417"/>
      <c r="D24" s="1992">
        <v>7679000</v>
      </c>
      <c r="E24" s="1992">
        <v>29352000</v>
      </c>
      <c r="F24" s="1993">
        <v>19350462</v>
      </c>
      <c r="G24" s="3418">
        <f t="shared" ref="G24:G33" si="0">F24/D24</f>
        <v>2.5199195207709337</v>
      </c>
      <c r="H24" s="3419"/>
    </row>
    <row r="25" spans="1:8" ht="21" x14ac:dyDescent="0.4">
      <c r="B25" s="3416">
        <v>1395</v>
      </c>
      <c r="C25" s="3417"/>
      <c r="D25" s="1992">
        <v>7408390</v>
      </c>
      <c r="E25" s="1992">
        <v>35506790</v>
      </c>
      <c r="F25" s="1993">
        <v>21628239</v>
      </c>
      <c r="G25" s="3418">
        <f t="shared" si="0"/>
        <v>2.9194250032733158</v>
      </c>
      <c r="H25" s="3419"/>
    </row>
    <row r="26" spans="1:8" ht="21" x14ac:dyDescent="0.4">
      <c r="B26" s="3416">
        <v>1396</v>
      </c>
      <c r="C26" s="3417"/>
      <c r="D26" s="1992">
        <v>22932445</v>
      </c>
      <c r="E26" s="1992">
        <v>33878986</v>
      </c>
      <c r="F26" s="1993">
        <v>28828004</v>
      </c>
      <c r="G26" s="3418">
        <f t="shared" si="0"/>
        <v>1.2570837518633535</v>
      </c>
      <c r="H26" s="3419"/>
    </row>
    <row r="27" spans="1:8" ht="21" x14ac:dyDescent="0.4">
      <c r="B27" s="3416">
        <v>1397</v>
      </c>
      <c r="C27" s="3417"/>
      <c r="D27" s="1992">
        <v>16879474</v>
      </c>
      <c r="E27" s="1992">
        <v>20010459</v>
      </c>
      <c r="F27" s="1993">
        <v>18127210</v>
      </c>
      <c r="G27" s="3418">
        <f t="shared" si="0"/>
        <v>1.0739203129197035</v>
      </c>
      <c r="H27" s="3419"/>
    </row>
    <row r="28" spans="1:8" ht="21" x14ac:dyDescent="0.4">
      <c r="B28" s="3416">
        <v>1398</v>
      </c>
      <c r="C28" s="3417"/>
      <c r="D28" s="1992">
        <v>9881895</v>
      </c>
      <c r="E28" s="1992">
        <v>23939837</v>
      </c>
      <c r="F28" s="1993">
        <v>15395885</v>
      </c>
      <c r="G28" s="3418">
        <f t="shared" si="0"/>
        <v>1.5579891306272735</v>
      </c>
      <c r="H28" s="3419"/>
    </row>
    <row r="29" spans="1:8" ht="21" x14ac:dyDescent="0.4">
      <c r="B29" s="3416">
        <v>1399</v>
      </c>
      <c r="C29" s="3417"/>
      <c r="D29" s="1992">
        <v>12243825</v>
      </c>
      <c r="E29" s="1992">
        <v>25866576</v>
      </c>
      <c r="F29" s="1993">
        <v>18024170</v>
      </c>
      <c r="G29" s="3418">
        <f t="shared" si="0"/>
        <v>1.4721028763478734</v>
      </c>
      <c r="H29" s="3419"/>
    </row>
    <row r="30" spans="1:8" ht="21" x14ac:dyDescent="0.4">
      <c r="B30" s="3416">
        <v>1400</v>
      </c>
      <c r="C30" s="3417"/>
      <c r="D30" s="1992">
        <v>19075000</v>
      </c>
      <c r="E30" s="1992">
        <v>38117869</v>
      </c>
      <c r="F30" s="1993">
        <v>33529598</v>
      </c>
      <c r="G30" s="3418">
        <f t="shared" si="0"/>
        <v>1.7577770904325032</v>
      </c>
      <c r="H30" s="3419"/>
    </row>
    <row r="31" spans="1:8" ht="21" x14ac:dyDescent="0.4">
      <c r="B31" s="3416">
        <v>1401</v>
      </c>
      <c r="C31" s="3417"/>
      <c r="D31" s="1992">
        <v>29199034</v>
      </c>
      <c r="E31" s="1992">
        <v>73217442</v>
      </c>
      <c r="F31" s="1993">
        <v>31634715</v>
      </c>
      <c r="G31" s="3418">
        <f t="shared" si="0"/>
        <v>1.0834164924771141</v>
      </c>
      <c r="H31" s="3419"/>
    </row>
    <row r="32" spans="1:8" ht="21" x14ac:dyDescent="0.4">
      <c r="B32" s="3420">
        <v>1402</v>
      </c>
      <c r="C32" s="3421"/>
      <c r="D32" s="14">
        <v>41490300</v>
      </c>
      <c r="E32" s="14">
        <v>79969669</v>
      </c>
      <c r="F32" s="1994">
        <v>85170121</v>
      </c>
      <c r="G32" s="3422">
        <f t="shared" si="0"/>
        <v>2.0527718768001195</v>
      </c>
      <c r="H32" s="3423"/>
    </row>
    <row r="33" spans="2:12" ht="21.75" thickBot="1" x14ac:dyDescent="0.45">
      <c r="B33" s="3409">
        <v>1403</v>
      </c>
      <c r="C33" s="3410"/>
      <c r="D33" s="15">
        <v>48864774</v>
      </c>
      <c r="E33" s="15">
        <v>154441874</v>
      </c>
      <c r="F33" s="15">
        <v>126449570.09099099</v>
      </c>
      <c r="G33" s="3411">
        <f t="shared" si="0"/>
        <v>2.5877449078346499</v>
      </c>
      <c r="H33" s="3412"/>
    </row>
    <row r="34" spans="2:12" x14ac:dyDescent="0.4">
      <c r="B34" s="3413" t="s">
        <v>34</v>
      </c>
      <c r="C34" s="3413"/>
      <c r="D34" s="3413"/>
      <c r="E34" s="3413"/>
      <c r="F34" s="3413"/>
    </row>
    <row r="35" spans="2:12" ht="18" x14ac:dyDescent="0.4">
      <c r="B35" s="3414" t="s">
        <v>42</v>
      </c>
      <c r="C35" s="3414"/>
      <c r="D35" s="3414"/>
      <c r="E35" s="3414"/>
      <c r="F35" s="3414"/>
      <c r="G35" s="3414"/>
      <c r="H35" s="3414"/>
      <c r="I35" s="3414"/>
      <c r="J35" s="3398"/>
      <c r="K35" s="3398"/>
      <c r="L35" s="3398"/>
    </row>
    <row r="36" spans="2:12" ht="18" x14ac:dyDescent="0.4">
      <c r="B36" s="3415" t="s">
        <v>43</v>
      </c>
      <c r="C36" s="3415"/>
      <c r="D36" s="3415"/>
      <c r="E36" s="3415"/>
      <c r="F36" s="3415"/>
      <c r="G36" s="3415"/>
      <c r="H36" s="3415"/>
      <c r="I36" s="3415"/>
      <c r="J36" s="3398"/>
      <c r="K36" s="3398"/>
      <c r="L36" s="3398"/>
    </row>
  </sheetData>
  <mergeCells count="30">
    <mergeCell ref="A20:H20"/>
    <mergeCell ref="B22:C22"/>
    <mergeCell ref="G22:H22"/>
    <mergeCell ref="B23:C23"/>
    <mergeCell ref="G23:H23"/>
    <mergeCell ref="B21:H21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F34"/>
    <mergeCell ref="B35:I35"/>
    <mergeCell ref="J35:L36"/>
    <mergeCell ref="B36:I36"/>
  </mergeCells>
  <pageMargins left="0.59055118110236227" right="0.59055118110236227" top="0.98425196850393704" bottom="0.98425196850393704" header="0" footer="0"/>
  <pageSetup paperSize="9" firstPageNumber="11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00B050"/>
  </sheetPr>
  <dimension ref="A1:J45"/>
  <sheetViews>
    <sheetView rightToLeft="1" topLeftCell="A10" zoomScale="86" zoomScaleNormal="86" workbookViewId="0">
      <selection activeCell="E44" sqref="E44"/>
    </sheetView>
  </sheetViews>
  <sheetFormatPr defaultColWidth="8.125" defaultRowHeight="15.75" x14ac:dyDescent="0.4"/>
  <cols>
    <col min="1" max="1" width="13.25" style="680" customWidth="1"/>
    <col min="2" max="2" width="18.5" style="680" customWidth="1"/>
    <col min="3" max="3" width="24" style="680" customWidth="1"/>
    <col min="4" max="4" width="23.375" style="680" customWidth="1"/>
    <col min="5" max="5" width="17" style="680" customWidth="1"/>
    <col min="6" max="6" width="12.25" style="680" customWidth="1"/>
    <col min="7" max="16384" width="8.125" style="680"/>
  </cols>
  <sheetData>
    <row r="1" spans="1:5" ht="20.25" customHeight="1" x14ac:dyDescent="0.4"/>
    <row r="2" spans="1:5" ht="20.25" customHeight="1" x14ac:dyDescent="0.4"/>
    <row r="3" spans="1:5" ht="20.25" customHeight="1" x14ac:dyDescent="0.4"/>
    <row r="4" spans="1:5" ht="20.25" customHeight="1" x14ac:dyDescent="0.4"/>
    <row r="5" spans="1:5" ht="20.25" customHeight="1" x14ac:dyDescent="0.4"/>
    <row r="6" spans="1:5" ht="20.25" customHeight="1" x14ac:dyDescent="0.4"/>
    <row r="7" spans="1:5" ht="20.25" customHeight="1" x14ac:dyDescent="0.4"/>
    <row r="8" spans="1:5" ht="20.25" customHeight="1" x14ac:dyDescent="0.4"/>
    <row r="9" spans="1:5" ht="20.25" customHeight="1" x14ac:dyDescent="0.4"/>
    <row r="10" spans="1:5" ht="20.25" customHeight="1" x14ac:dyDescent="0.4"/>
    <row r="11" spans="1:5" ht="20.25" customHeight="1" x14ac:dyDescent="0.4"/>
    <row r="12" spans="1:5" ht="20.25" customHeight="1" x14ac:dyDescent="0.4"/>
    <row r="13" spans="1:5" ht="20.25" customHeight="1" x14ac:dyDescent="0.4"/>
    <row r="14" spans="1:5" ht="20.25" customHeight="1" x14ac:dyDescent="0.4"/>
    <row r="15" spans="1:5" ht="20.25" customHeight="1" x14ac:dyDescent="0.4"/>
    <row r="16" spans="1:5" ht="22.5" customHeight="1" thickBot="1" x14ac:dyDescent="0.45">
      <c r="A16" s="3440" t="s">
        <v>1246</v>
      </c>
      <c r="B16" s="3440"/>
      <c r="C16" s="3440"/>
      <c r="D16" s="3440"/>
      <c r="E16" s="3440"/>
    </row>
    <row r="17" spans="1:10" ht="15.75" customHeight="1" x14ac:dyDescent="0.4">
      <c r="A17" s="3441" t="s">
        <v>118</v>
      </c>
      <c r="B17" s="3442"/>
      <c r="C17" s="3443" t="s">
        <v>38</v>
      </c>
      <c r="D17" s="3444"/>
      <c r="E17" s="3445" t="s">
        <v>1027</v>
      </c>
    </row>
    <row r="18" spans="1:10" ht="15.75" customHeight="1" thickBot="1" x14ac:dyDescent="0.45">
      <c r="A18" s="2927"/>
      <c r="B18" s="2928"/>
      <c r="C18" s="1020">
        <v>1402</v>
      </c>
      <c r="D18" s="1020">
        <v>1403</v>
      </c>
      <c r="E18" s="3446"/>
    </row>
    <row r="19" spans="1:10" ht="15.75" customHeight="1" x14ac:dyDescent="0.4">
      <c r="A19" s="3441" t="s">
        <v>1247</v>
      </c>
      <c r="B19" s="3442"/>
      <c r="C19" s="1021">
        <v>0</v>
      </c>
      <c r="D19" s="1021">
        <v>4</v>
      </c>
      <c r="E19" s="1022" t="s">
        <v>25</v>
      </c>
    </row>
    <row r="20" spans="1:10" ht="15.75" customHeight="1" x14ac:dyDescent="0.4">
      <c r="A20" s="2927" t="s">
        <v>1248</v>
      </c>
      <c r="B20" s="2928"/>
      <c r="C20" s="1023">
        <v>1285</v>
      </c>
      <c r="D20" s="1023">
        <v>1210</v>
      </c>
      <c r="E20" s="1024">
        <f>(D20-C20)/C20</f>
        <v>-5.8365758754863814E-2</v>
      </c>
    </row>
    <row r="21" spans="1:10" ht="15.75" customHeight="1" thickBot="1" x14ac:dyDescent="0.45">
      <c r="A21" s="3447" t="s">
        <v>1249</v>
      </c>
      <c r="B21" s="3448"/>
      <c r="C21" s="1025">
        <v>47</v>
      </c>
      <c r="D21" s="1025">
        <v>42</v>
      </c>
      <c r="E21" s="1026">
        <f>(D21-C21)/C21</f>
        <v>-0.10638297872340426</v>
      </c>
    </row>
    <row r="22" spans="1:10" ht="7.5" customHeight="1" x14ac:dyDescent="0.4">
      <c r="A22" s="727"/>
      <c r="B22" s="727"/>
      <c r="C22" s="1027"/>
      <c r="D22" s="1027"/>
      <c r="E22" s="1028"/>
    </row>
    <row r="23" spans="1:10" ht="22.5" customHeight="1" thickBot="1" x14ac:dyDescent="0.45">
      <c r="A23" s="3449" t="s">
        <v>1250</v>
      </c>
      <c r="B23" s="3449"/>
      <c r="C23" s="3449"/>
      <c r="D23" s="3449"/>
      <c r="E23" s="3449"/>
      <c r="I23" s="680" t="s">
        <v>425</v>
      </c>
    </row>
    <row r="24" spans="1:10" ht="29.25" customHeight="1" thickBot="1" x14ac:dyDescent="0.45">
      <c r="A24" s="3438" t="s">
        <v>1251</v>
      </c>
      <c r="B24" s="3439"/>
      <c r="C24" s="2123" t="s">
        <v>1252</v>
      </c>
      <c r="D24" s="1874" t="s">
        <v>1253</v>
      </c>
      <c r="E24" s="2124" t="s">
        <v>1254</v>
      </c>
      <c r="F24" s="727"/>
      <c r="G24" s="727"/>
      <c r="H24" s="727"/>
      <c r="J24" s="680" t="s">
        <v>425</v>
      </c>
    </row>
    <row r="25" spans="1:10" ht="15.75" customHeight="1" x14ac:dyDescent="0.4">
      <c r="A25" s="3450" t="s">
        <v>107</v>
      </c>
      <c r="B25" s="3451"/>
      <c r="C25" s="1029" t="s">
        <v>25</v>
      </c>
      <c r="D25" s="1030">
        <v>6</v>
      </c>
      <c r="E25" s="1030" t="s">
        <v>25</v>
      </c>
      <c r="F25" s="1031"/>
      <c r="G25" s="1027"/>
    </row>
    <row r="26" spans="1:10" ht="15.75" customHeight="1" x14ac:dyDescent="0.4">
      <c r="A26" s="3434" t="s">
        <v>112</v>
      </c>
      <c r="B26" s="3435"/>
      <c r="C26" s="1029" t="s">
        <v>25</v>
      </c>
      <c r="D26" s="1032" t="s">
        <v>25</v>
      </c>
      <c r="E26" s="1032" t="s">
        <v>25</v>
      </c>
      <c r="F26" s="1031"/>
      <c r="G26" s="1027"/>
    </row>
    <row r="27" spans="1:10" ht="15.75" customHeight="1" x14ac:dyDescent="0.4">
      <c r="A27" s="3434" t="s">
        <v>198</v>
      </c>
      <c r="B27" s="3435"/>
      <c r="C27" s="1029" t="s">
        <v>25</v>
      </c>
      <c r="D27" s="1032" t="s">
        <v>25</v>
      </c>
      <c r="E27" s="1032" t="s">
        <v>25</v>
      </c>
      <c r="F27" s="1031"/>
      <c r="G27" s="1027"/>
    </row>
    <row r="28" spans="1:10" ht="15.75" customHeight="1" x14ac:dyDescent="0.4">
      <c r="A28" s="3434" t="s">
        <v>102</v>
      </c>
      <c r="B28" s="3435"/>
      <c r="C28" s="1029">
        <v>4</v>
      </c>
      <c r="D28" s="1032">
        <v>911</v>
      </c>
      <c r="E28" s="1032">
        <v>42</v>
      </c>
      <c r="F28" s="1031"/>
      <c r="G28" s="1027"/>
    </row>
    <row r="29" spans="1:10" ht="15.75" customHeight="1" x14ac:dyDescent="0.4">
      <c r="A29" s="3434" t="s">
        <v>199</v>
      </c>
      <c r="B29" s="3435"/>
      <c r="C29" s="1029" t="s">
        <v>25</v>
      </c>
      <c r="D29" s="1032" t="s">
        <v>25</v>
      </c>
      <c r="E29" s="1032" t="s">
        <v>25</v>
      </c>
      <c r="F29" s="1031"/>
      <c r="G29" s="1027"/>
    </row>
    <row r="30" spans="1:10" ht="15.75" customHeight="1" x14ac:dyDescent="0.4">
      <c r="A30" s="3434" t="s">
        <v>1255</v>
      </c>
      <c r="B30" s="3435"/>
      <c r="C30" s="1029" t="s">
        <v>25</v>
      </c>
      <c r="D30" s="1032" t="s">
        <v>25</v>
      </c>
      <c r="E30" s="1032" t="s">
        <v>25</v>
      </c>
      <c r="F30" s="1031"/>
      <c r="G30" s="1027"/>
    </row>
    <row r="31" spans="1:10" ht="15.75" customHeight="1" x14ac:dyDescent="0.4">
      <c r="A31" s="3434" t="s">
        <v>1256</v>
      </c>
      <c r="B31" s="3435"/>
      <c r="C31" s="1029" t="s">
        <v>25</v>
      </c>
      <c r="D31" s="1032" t="s">
        <v>25</v>
      </c>
      <c r="E31" s="1032" t="s">
        <v>25</v>
      </c>
      <c r="F31" s="1031"/>
      <c r="G31" s="1027"/>
    </row>
    <row r="32" spans="1:10" ht="15.75" customHeight="1" x14ac:dyDescent="0.4">
      <c r="A32" s="3434" t="s">
        <v>99</v>
      </c>
      <c r="B32" s="3435"/>
      <c r="C32" s="1029" t="s">
        <v>25</v>
      </c>
      <c r="D32" s="1032">
        <v>183</v>
      </c>
      <c r="E32" s="1032" t="s">
        <v>25</v>
      </c>
      <c r="F32" s="1031"/>
      <c r="G32" s="1027"/>
    </row>
    <row r="33" spans="1:7" ht="15.75" customHeight="1" x14ac:dyDescent="0.4">
      <c r="A33" s="3434" t="s">
        <v>1257</v>
      </c>
      <c r="B33" s="3435"/>
      <c r="C33" s="1029" t="s">
        <v>25</v>
      </c>
      <c r="D33" s="1032" t="s">
        <v>25</v>
      </c>
      <c r="E33" s="1032" t="s">
        <v>25</v>
      </c>
      <c r="F33" s="1031"/>
      <c r="G33" s="1027"/>
    </row>
    <row r="34" spans="1:7" ht="15.75" customHeight="1" x14ac:dyDescent="0.4">
      <c r="A34" s="3434" t="s">
        <v>201</v>
      </c>
      <c r="B34" s="3435"/>
      <c r="C34" s="1029" t="s">
        <v>25</v>
      </c>
      <c r="D34" s="1032" t="s">
        <v>25</v>
      </c>
      <c r="E34" s="1032" t="s">
        <v>25</v>
      </c>
      <c r="F34" s="1031"/>
      <c r="G34" s="1027"/>
    </row>
    <row r="35" spans="1:7" ht="15.75" customHeight="1" x14ac:dyDescent="0.4">
      <c r="A35" s="3434" t="s">
        <v>97</v>
      </c>
      <c r="B35" s="3435"/>
      <c r="C35" s="1029" t="s">
        <v>25</v>
      </c>
      <c r="D35" s="1032" t="s">
        <v>25</v>
      </c>
      <c r="E35" s="1032" t="s">
        <v>25</v>
      </c>
      <c r="F35" s="1031"/>
      <c r="G35" s="1027"/>
    </row>
    <row r="36" spans="1:7" ht="15.75" customHeight="1" x14ac:dyDescent="0.4">
      <c r="A36" s="3434" t="s">
        <v>95</v>
      </c>
      <c r="B36" s="3435"/>
      <c r="C36" s="1029" t="s">
        <v>25</v>
      </c>
      <c r="D36" s="1032" t="s">
        <v>25</v>
      </c>
      <c r="E36" s="1032" t="s">
        <v>25</v>
      </c>
      <c r="F36" s="1031"/>
      <c r="G36" s="1027"/>
    </row>
    <row r="37" spans="1:7" ht="15.75" customHeight="1" x14ac:dyDescent="0.4">
      <c r="A37" s="3434" t="s">
        <v>106</v>
      </c>
      <c r="B37" s="3435"/>
      <c r="C37" s="1029" t="s">
        <v>25</v>
      </c>
      <c r="D37" s="1032" t="s">
        <v>25</v>
      </c>
      <c r="E37" s="1032" t="s">
        <v>25</v>
      </c>
      <c r="F37" s="1031"/>
      <c r="G37" s="1027"/>
    </row>
    <row r="38" spans="1:7" ht="15.75" customHeight="1" x14ac:dyDescent="0.4">
      <c r="A38" s="3434" t="s">
        <v>105</v>
      </c>
      <c r="B38" s="3435"/>
      <c r="C38" s="1029" t="s">
        <v>25</v>
      </c>
      <c r="D38" s="1032">
        <v>110</v>
      </c>
      <c r="E38" s="1032" t="s">
        <v>25</v>
      </c>
      <c r="F38" s="1031"/>
      <c r="G38" s="1027"/>
    </row>
    <row r="39" spans="1:7" ht="15.75" customHeight="1" x14ac:dyDescent="0.4">
      <c r="A39" s="3434" t="s">
        <v>101</v>
      </c>
      <c r="B39" s="3435"/>
      <c r="C39" s="1029" t="s">
        <v>25</v>
      </c>
      <c r="D39" s="1032" t="s">
        <v>25</v>
      </c>
      <c r="E39" s="1032" t="s">
        <v>25</v>
      </c>
      <c r="F39" s="1031"/>
      <c r="G39" s="1027"/>
    </row>
    <row r="40" spans="1:7" ht="15.75" customHeight="1" x14ac:dyDescent="0.4">
      <c r="A40" s="3434" t="s">
        <v>96</v>
      </c>
      <c r="B40" s="3435"/>
      <c r="C40" s="1029" t="s">
        <v>25</v>
      </c>
      <c r="D40" s="1032" t="s">
        <v>25</v>
      </c>
      <c r="E40" s="1032" t="s">
        <v>25</v>
      </c>
      <c r="F40" s="1031"/>
      <c r="G40" s="1027"/>
    </row>
    <row r="41" spans="1:7" ht="15.75" customHeight="1" x14ac:dyDescent="0.4">
      <c r="A41" s="3434" t="s">
        <v>935</v>
      </c>
      <c r="B41" s="3435"/>
      <c r="C41" s="1029" t="s">
        <v>25</v>
      </c>
      <c r="D41" s="1032" t="s">
        <v>25</v>
      </c>
      <c r="E41" s="1032" t="s">
        <v>25</v>
      </c>
      <c r="F41" s="1031"/>
      <c r="G41" s="1027"/>
    </row>
    <row r="42" spans="1:7" ht="15.75" customHeight="1" x14ac:dyDescent="0.4">
      <c r="A42" s="3434" t="s">
        <v>111</v>
      </c>
      <c r="B42" s="3435"/>
      <c r="C42" s="1029" t="s">
        <v>25</v>
      </c>
      <c r="D42" s="1032" t="s">
        <v>25</v>
      </c>
      <c r="E42" s="1032" t="s">
        <v>25</v>
      </c>
      <c r="F42" s="1031"/>
      <c r="G42" s="1027"/>
    </row>
    <row r="43" spans="1:7" ht="15.75" customHeight="1" thickBot="1" x14ac:dyDescent="0.45">
      <c r="A43" s="3436" t="s">
        <v>108</v>
      </c>
      <c r="B43" s="3437"/>
      <c r="C43" s="1029" t="s">
        <v>25</v>
      </c>
      <c r="D43" s="1033" t="s">
        <v>25</v>
      </c>
      <c r="E43" s="1033" t="s">
        <v>25</v>
      </c>
      <c r="F43" s="1031"/>
      <c r="G43" s="1027"/>
    </row>
    <row r="44" spans="1:7" ht="22.5" customHeight="1" thickBot="1" x14ac:dyDescent="0.45">
      <c r="A44" s="3438" t="s">
        <v>170</v>
      </c>
      <c r="B44" s="3439"/>
      <c r="C44" s="2125">
        <f>SUM(C25:C43)</f>
        <v>4</v>
      </c>
      <c r="D44" s="2126">
        <f>SUM(D25:D43)</f>
        <v>1210</v>
      </c>
      <c r="E44" s="2127">
        <f>SUM(E25:E43)</f>
        <v>42</v>
      </c>
      <c r="F44" s="1031"/>
      <c r="G44" s="1027"/>
    </row>
    <row r="45" spans="1:7" ht="15.75" customHeight="1" x14ac:dyDescent="0.4">
      <c r="A45" s="680" t="s">
        <v>1258</v>
      </c>
    </row>
  </sheetData>
  <mergeCells count="29">
    <mergeCell ref="A27:B27"/>
    <mergeCell ref="A16:E16"/>
    <mergeCell ref="A17:B18"/>
    <mergeCell ref="C17:D17"/>
    <mergeCell ref="E17:E18"/>
    <mergeCell ref="A19:B19"/>
    <mergeCell ref="A20:B20"/>
    <mergeCell ref="A21:B21"/>
    <mergeCell ref="A23:E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2:B42"/>
    <mergeCell ref="A43:B43"/>
    <mergeCell ref="A44:B44"/>
  </mergeCells>
  <printOptions horizontalCentered="1" verticalCentered="1"/>
  <pageMargins left="0.78740157480314965" right="0.78740157480314965" top="0.78740157480314965" bottom="0.78740157480314965" header="0" footer="0.51181102362204722"/>
  <pageSetup paperSize="9" scale="80" firstPageNumber="126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00B050"/>
  </sheetPr>
  <dimension ref="A1:P53"/>
  <sheetViews>
    <sheetView rightToLeft="1" zoomScale="78" zoomScaleNormal="78" workbookViewId="0">
      <selection activeCell="K28" sqref="K28"/>
    </sheetView>
  </sheetViews>
  <sheetFormatPr defaultColWidth="8.125" defaultRowHeight="15.75" x14ac:dyDescent="0.4"/>
  <cols>
    <col min="1" max="1" width="9.5" style="141" customWidth="1"/>
    <col min="2" max="2" width="13.125" style="141" customWidth="1"/>
    <col min="3" max="3" width="11.375" style="141" customWidth="1"/>
    <col min="4" max="4" width="11.25" style="141" customWidth="1"/>
    <col min="5" max="6" width="18.75" style="141" customWidth="1"/>
    <col min="7" max="7" width="8.875" style="141" bestFit="1" customWidth="1"/>
    <col min="8" max="8" width="8.125" style="141"/>
    <col min="9" max="9" width="9.125" style="141" bestFit="1" customWidth="1"/>
    <col min="10" max="10" width="13.125" style="141" customWidth="1"/>
    <col min="11" max="11" width="13.25" style="141" customWidth="1"/>
    <col min="12" max="12" width="12.875" style="141" customWidth="1"/>
    <col min="13" max="13" width="8.125" style="141"/>
    <col min="14" max="14" width="10.875" style="141" customWidth="1"/>
    <col min="15" max="15" width="13" style="141" customWidth="1"/>
    <col min="16" max="16" width="13.375" style="141" customWidth="1"/>
    <col min="17" max="16384" width="8.125" style="141"/>
  </cols>
  <sheetData>
    <row r="1" spans="1:11" ht="24" x14ac:dyDescent="0.6">
      <c r="A1" s="3522" t="s">
        <v>1259</v>
      </c>
      <c r="B1" s="3522"/>
      <c r="C1" s="3522"/>
      <c r="D1" s="3522"/>
      <c r="E1" s="3522"/>
      <c r="F1" s="3522"/>
    </row>
    <row r="2" spans="1:11" ht="15" customHeight="1" thickBot="1" x14ac:dyDescent="0.45">
      <c r="A2" s="3523" t="s">
        <v>1260</v>
      </c>
      <c r="B2" s="3523"/>
      <c r="C2" s="3523"/>
      <c r="D2" s="3523"/>
      <c r="E2" s="3523"/>
      <c r="F2" s="3523"/>
    </row>
    <row r="3" spans="1:11" ht="22.5" customHeight="1" thickBot="1" x14ac:dyDescent="0.45">
      <c r="A3" s="3524" t="s">
        <v>1261</v>
      </c>
      <c r="B3" s="3526" t="s">
        <v>1262</v>
      </c>
      <c r="C3" s="3528" t="s">
        <v>1263</v>
      </c>
      <c r="D3" s="3487"/>
      <c r="E3" s="3482" t="s">
        <v>1264</v>
      </c>
      <c r="F3" s="3484"/>
    </row>
    <row r="4" spans="1:11" ht="33.75" customHeight="1" thickBot="1" x14ac:dyDescent="0.8">
      <c r="A4" s="3525"/>
      <c r="B4" s="3527"/>
      <c r="C4" s="3529"/>
      <c r="D4" s="3489"/>
      <c r="E4" s="2275" t="s">
        <v>409</v>
      </c>
      <c r="F4" s="2276" t="s">
        <v>1265</v>
      </c>
      <c r="I4" s="1035"/>
      <c r="J4" s="1035"/>
    </row>
    <row r="5" spans="1:11" ht="44.25" customHeight="1" x14ac:dyDescent="0.75">
      <c r="A5" s="3510" t="s">
        <v>1128</v>
      </c>
      <c r="B5" s="1036" t="s">
        <v>1266</v>
      </c>
      <c r="C5" s="2858" t="s">
        <v>1267</v>
      </c>
      <c r="D5" s="3443"/>
      <c r="E5" s="1037">
        <v>24</v>
      </c>
      <c r="F5" s="1038">
        <v>20</v>
      </c>
      <c r="I5" s="1035"/>
      <c r="J5" s="1035"/>
      <c r="K5" s="1039"/>
    </row>
    <row r="6" spans="1:11" ht="44.25" customHeight="1" x14ac:dyDescent="0.75">
      <c r="A6" s="3511"/>
      <c r="B6" s="1040" t="s">
        <v>1268</v>
      </c>
      <c r="C6" s="3498" t="s">
        <v>1267</v>
      </c>
      <c r="D6" s="3499"/>
      <c r="E6" s="1041">
        <v>4</v>
      </c>
      <c r="F6" s="1042">
        <v>0</v>
      </c>
      <c r="I6" s="1035"/>
      <c r="J6" s="1035"/>
      <c r="K6" s="1039"/>
    </row>
    <row r="7" spans="1:11" ht="51.75" customHeight="1" thickBot="1" x14ac:dyDescent="0.8">
      <c r="A7" s="3511"/>
      <c r="B7" s="1043" t="s">
        <v>911</v>
      </c>
      <c r="C7" s="3506" t="s">
        <v>1269</v>
      </c>
      <c r="D7" s="3509"/>
      <c r="E7" s="1044">
        <v>88</v>
      </c>
      <c r="F7" s="1045">
        <v>80</v>
      </c>
      <c r="G7" s="1046"/>
      <c r="H7" s="1046"/>
      <c r="I7" s="1047"/>
      <c r="J7" s="1035"/>
      <c r="K7" s="1039"/>
    </row>
    <row r="8" spans="1:11" ht="27.75" customHeight="1" thickBot="1" x14ac:dyDescent="0.45">
      <c r="A8" s="3512"/>
      <c r="B8" s="3483" t="s">
        <v>170</v>
      </c>
      <c r="C8" s="3483"/>
      <c r="D8" s="3483"/>
      <c r="E8" s="2277">
        <f>SUM(E5:E7)</f>
        <v>116</v>
      </c>
      <c r="F8" s="2278">
        <f>SUM(F5:F7)</f>
        <v>100</v>
      </c>
    </row>
    <row r="9" spans="1:11" ht="24" customHeight="1" x14ac:dyDescent="0.55000000000000004">
      <c r="A9" s="3510" t="s">
        <v>1270</v>
      </c>
      <c r="B9" s="3513" t="s">
        <v>1266</v>
      </c>
      <c r="C9" s="2858" t="s">
        <v>1267</v>
      </c>
      <c r="D9" s="3443"/>
      <c r="E9" s="3494">
        <v>533</v>
      </c>
      <c r="F9" s="3496">
        <v>435</v>
      </c>
      <c r="G9" s="1048"/>
    </row>
    <row r="10" spans="1:11" ht="24" customHeight="1" x14ac:dyDescent="0.55000000000000004">
      <c r="A10" s="3511"/>
      <c r="B10" s="3514"/>
      <c r="C10" s="3498" t="s">
        <v>90</v>
      </c>
      <c r="D10" s="3508"/>
      <c r="E10" s="3495"/>
      <c r="F10" s="3497"/>
      <c r="G10" s="1048"/>
    </row>
    <row r="11" spans="1:11" ht="21.75" customHeight="1" x14ac:dyDescent="0.55000000000000004">
      <c r="A11" s="3511"/>
      <c r="B11" s="3517" t="s">
        <v>1268</v>
      </c>
      <c r="C11" s="3519" t="s">
        <v>1267</v>
      </c>
      <c r="D11" s="3520"/>
      <c r="E11" s="3502">
        <v>178</v>
      </c>
      <c r="F11" s="3521">
        <v>55</v>
      </c>
      <c r="G11" s="1048"/>
    </row>
    <row r="12" spans="1:11" ht="21.75" customHeight="1" x14ac:dyDescent="0.55000000000000004">
      <c r="A12" s="3511"/>
      <c r="B12" s="3518"/>
      <c r="C12" s="3498" t="s">
        <v>90</v>
      </c>
      <c r="D12" s="3508"/>
      <c r="E12" s="3495"/>
      <c r="F12" s="3497"/>
      <c r="G12" s="1048"/>
    </row>
    <row r="13" spans="1:11" ht="31.5" customHeight="1" x14ac:dyDescent="0.55000000000000004">
      <c r="A13" s="3511"/>
      <c r="B13" s="3515" t="s">
        <v>911</v>
      </c>
      <c r="C13" s="3498" t="s">
        <v>1271</v>
      </c>
      <c r="D13" s="3508"/>
      <c r="E13" s="1049">
        <v>111</v>
      </c>
      <c r="F13" s="1050">
        <v>35</v>
      </c>
      <c r="G13" s="1048"/>
    </row>
    <row r="14" spans="1:11" ht="50.25" hidden="1" customHeight="1" thickBot="1" x14ac:dyDescent="0.6">
      <c r="A14" s="3511"/>
      <c r="B14" s="3516"/>
      <c r="C14" s="3498" t="s">
        <v>1269</v>
      </c>
      <c r="D14" s="3508"/>
      <c r="E14" s="1044"/>
      <c r="F14" s="1045"/>
      <c r="G14" s="1048"/>
    </row>
    <row r="15" spans="1:11" ht="30" customHeight="1" thickBot="1" x14ac:dyDescent="0.6">
      <c r="A15" s="3511"/>
      <c r="B15" s="3516"/>
      <c r="C15" s="3506" t="s">
        <v>1269</v>
      </c>
      <c r="D15" s="3509"/>
      <c r="E15" s="1044">
        <v>56</v>
      </c>
      <c r="F15" s="1045">
        <v>25</v>
      </c>
      <c r="G15" s="1048"/>
    </row>
    <row r="16" spans="1:11" ht="22.5" customHeight="1" thickBot="1" x14ac:dyDescent="0.6">
      <c r="A16" s="3512"/>
      <c r="B16" s="3483" t="s">
        <v>170</v>
      </c>
      <c r="C16" s="3483"/>
      <c r="D16" s="3483"/>
      <c r="E16" s="2279">
        <f>+E9+E10+E11+E12+E13+E15</f>
        <v>878</v>
      </c>
      <c r="F16" s="2280">
        <f>+F9+F10+F11+F12+F13+F15</f>
        <v>550</v>
      </c>
      <c r="G16" s="1048"/>
    </row>
    <row r="17" spans="1:8" ht="25.5" customHeight="1" x14ac:dyDescent="0.4">
      <c r="A17" s="3510" t="s">
        <v>1272</v>
      </c>
      <c r="B17" s="3513" t="s">
        <v>1266</v>
      </c>
      <c r="C17" s="2858" t="s">
        <v>1267</v>
      </c>
      <c r="D17" s="3444"/>
      <c r="E17" s="3494">
        <f>1361-E9-E5</f>
        <v>804</v>
      </c>
      <c r="F17" s="3496">
        <f>1078-F9-F5</f>
        <v>623</v>
      </c>
    </row>
    <row r="18" spans="1:8" ht="25.5" customHeight="1" x14ac:dyDescent="0.4">
      <c r="A18" s="3511"/>
      <c r="B18" s="3514"/>
      <c r="C18" s="3498" t="s">
        <v>90</v>
      </c>
      <c r="D18" s="3499"/>
      <c r="E18" s="3495"/>
      <c r="F18" s="3497"/>
    </row>
    <row r="19" spans="1:8" ht="23.25" customHeight="1" x14ac:dyDescent="0.4">
      <c r="A19" s="3511"/>
      <c r="B19" s="3500" t="s">
        <v>1268</v>
      </c>
      <c r="C19" s="3498" t="s">
        <v>1267</v>
      </c>
      <c r="D19" s="3499"/>
      <c r="E19" s="3502">
        <f>225-E11-E6</f>
        <v>43</v>
      </c>
      <c r="F19" s="3504">
        <v>21</v>
      </c>
    </row>
    <row r="20" spans="1:8" ht="22.5" customHeight="1" thickBot="1" x14ac:dyDescent="0.45">
      <c r="A20" s="3511"/>
      <c r="B20" s="3501"/>
      <c r="C20" s="3506" t="s">
        <v>90</v>
      </c>
      <c r="D20" s="3507"/>
      <c r="E20" s="3503"/>
      <c r="F20" s="3505"/>
    </row>
    <row r="21" spans="1:8" ht="27.75" customHeight="1" thickBot="1" x14ac:dyDescent="0.45">
      <c r="A21" s="3512"/>
      <c r="B21" s="3482" t="s">
        <v>170</v>
      </c>
      <c r="C21" s="3483"/>
      <c r="D21" s="3484"/>
      <c r="E21" s="2281">
        <f>SUM(E17:E20)</f>
        <v>847</v>
      </c>
      <c r="F21" s="2278">
        <f>+F17+F18+F19+F20</f>
        <v>644</v>
      </c>
    </row>
    <row r="22" spans="1:8" ht="27.75" customHeight="1" thickBot="1" x14ac:dyDescent="0.45">
      <c r="A22" s="3482" t="s">
        <v>33</v>
      </c>
      <c r="B22" s="3483"/>
      <c r="C22" s="3483"/>
      <c r="D22" s="3484"/>
      <c r="E22" s="2277">
        <f>+E21+E16+E8</f>
        <v>1841</v>
      </c>
      <c r="F22" s="2278">
        <f>+F21+F16+F8</f>
        <v>1294</v>
      </c>
    </row>
    <row r="23" spans="1:8" x14ac:dyDescent="0.4">
      <c r="A23" s="1051"/>
      <c r="B23" s="1051"/>
      <c r="C23" s="1051"/>
      <c r="D23" s="1051"/>
      <c r="E23" s="1051"/>
      <c r="F23" s="1051"/>
    </row>
    <row r="24" spans="1:8" ht="15.75" customHeight="1" x14ac:dyDescent="0.4">
      <c r="A24" s="1051"/>
      <c r="B24" s="1051"/>
      <c r="C24" s="1051"/>
      <c r="D24" s="1051"/>
      <c r="E24" s="1051"/>
      <c r="F24" s="1051"/>
    </row>
    <row r="25" spans="1:8" ht="24" x14ac:dyDescent="0.4">
      <c r="A25" s="2847" t="s">
        <v>1273</v>
      </c>
      <c r="B25" s="2847"/>
      <c r="C25" s="2847"/>
      <c r="D25" s="2847"/>
      <c r="E25" s="2847"/>
      <c r="F25" s="2847"/>
    </row>
    <row r="26" spans="1:8" ht="15" customHeight="1" thickBot="1" x14ac:dyDescent="0.45">
      <c r="A26" s="3485" t="s">
        <v>1260</v>
      </c>
      <c r="B26" s="3485"/>
      <c r="C26" s="3485"/>
      <c r="D26" s="3485"/>
      <c r="E26" s="3485"/>
      <c r="F26" s="3485"/>
    </row>
    <row r="27" spans="1:8" ht="22.5" customHeight="1" thickBot="1" x14ac:dyDescent="0.45">
      <c r="A27" s="3486" t="s">
        <v>1261</v>
      </c>
      <c r="B27" s="3487"/>
      <c r="C27" s="3486" t="s">
        <v>1274</v>
      </c>
      <c r="D27" s="3487"/>
      <c r="E27" s="3487"/>
      <c r="F27" s="3490"/>
    </row>
    <row r="28" spans="1:8" ht="56.25" customHeight="1" thickBot="1" x14ac:dyDescent="0.45">
      <c r="A28" s="3488"/>
      <c r="B28" s="3489"/>
      <c r="C28" s="3482" t="s">
        <v>409</v>
      </c>
      <c r="D28" s="3491"/>
      <c r="E28" s="3492" t="s">
        <v>1265</v>
      </c>
      <c r="F28" s="3493"/>
    </row>
    <row r="29" spans="1:8" ht="14.25" customHeight="1" x14ac:dyDescent="0.4">
      <c r="A29" s="3464" t="s">
        <v>1275</v>
      </c>
      <c r="B29" s="3465"/>
      <c r="C29" s="3468">
        <v>238</v>
      </c>
      <c r="D29" s="3469"/>
      <c r="E29" s="3472">
        <f>127-E31</f>
        <v>58</v>
      </c>
      <c r="F29" s="3473"/>
    </row>
    <row r="30" spans="1:8" ht="14.25" customHeight="1" x14ac:dyDescent="0.4">
      <c r="A30" s="3466"/>
      <c r="B30" s="3467"/>
      <c r="C30" s="3470"/>
      <c r="D30" s="3471"/>
      <c r="E30" s="3472"/>
      <c r="F30" s="3473"/>
      <c r="G30" s="1051"/>
      <c r="H30" s="1051"/>
    </row>
    <row r="31" spans="1:8" ht="14.25" customHeight="1" x14ac:dyDescent="0.4">
      <c r="A31" s="3474" t="s">
        <v>1272</v>
      </c>
      <c r="B31" s="3475"/>
      <c r="C31" s="3476">
        <v>110</v>
      </c>
      <c r="D31" s="3477"/>
      <c r="E31" s="3478">
        <v>69</v>
      </c>
      <c r="F31" s="3479"/>
      <c r="G31" s="1051"/>
      <c r="H31" s="1051"/>
    </row>
    <row r="32" spans="1:8" ht="14.25" customHeight="1" x14ac:dyDescent="0.4">
      <c r="A32" s="3466"/>
      <c r="B32" s="3467"/>
      <c r="C32" s="3470"/>
      <c r="D32" s="3471"/>
      <c r="E32" s="3480"/>
      <c r="F32" s="3481"/>
    </row>
    <row r="33" spans="1:16" ht="22.5" customHeight="1" thickBot="1" x14ac:dyDescent="0.45">
      <c r="A33" s="3454" t="s">
        <v>529</v>
      </c>
      <c r="B33" s="3455"/>
      <c r="C33" s="3456">
        <f>SUM(C29:D32)</f>
        <v>348</v>
      </c>
      <c r="D33" s="3457"/>
      <c r="E33" s="3456">
        <f>SUM(E29:F32)</f>
        <v>127</v>
      </c>
      <c r="F33" s="3457"/>
    </row>
    <row r="34" spans="1:16" x14ac:dyDescent="0.4">
      <c r="A34" s="1052" t="s">
        <v>1258</v>
      </c>
      <c r="B34" s="1052"/>
      <c r="C34" s="1053"/>
      <c r="D34" s="1053"/>
      <c r="E34" s="1053"/>
      <c r="F34" s="1054"/>
    </row>
    <row r="35" spans="1:16" x14ac:dyDescent="0.4">
      <c r="A35" s="1051"/>
      <c r="B35" s="1051"/>
      <c r="C35" s="1055"/>
      <c r="D35" s="1055"/>
      <c r="E35" s="1055"/>
      <c r="F35" s="1054"/>
    </row>
    <row r="36" spans="1:16" x14ac:dyDescent="0.4">
      <c r="A36" s="1051"/>
      <c r="B36" s="1051"/>
      <c r="C36" s="1055"/>
      <c r="D36" s="1055"/>
      <c r="E36" s="1055"/>
      <c r="F36" s="1054"/>
    </row>
    <row r="37" spans="1:16" ht="30" x14ac:dyDescent="0.75">
      <c r="A37" s="1051"/>
      <c r="B37" s="1051"/>
      <c r="C37" s="1051"/>
      <c r="D37" s="1051"/>
      <c r="E37" s="1056"/>
      <c r="F37" s="1057"/>
    </row>
    <row r="38" spans="1:16" s="1058" customFormat="1" ht="53.25" customHeight="1" thickBot="1" x14ac:dyDescent="0.45">
      <c r="C38" s="1059"/>
      <c r="D38" s="1059"/>
      <c r="E38" s="1059"/>
      <c r="F38" s="1060"/>
      <c r="G38" s="1059"/>
      <c r="H38" s="1059"/>
      <c r="J38" s="3458" t="s">
        <v>1276</v>
      </c>
      <c r="K38" s="3458"/>
      <c r="L38" s="3458"/>
      <c r="M38" s="1059"/>
      <c r="N38" s="3458" t="s">
        <v>1277</v>
      </c>
      <c r="O38" s="3458"/>
      <c r="P38" s="3458"/>
    </row>
    <row r="39" spans="1:16" ht="20.25" thickBot="1" x14ac:dyDescent="0.45">
      <c r="C39" s="3459"/>
      <c r="D39" s="1061"/>
      <c r="E39" s="1061"/>
      <c r="F39" s="1054"/>
      <c r="G39" s="3459"/>
      <c r="H39" s="3459"/>
      <c r="J39" s="3460" t="s">
        <v>118</v>
      </c>
      <c r="K39" s="3462" t="s">
        <v>1274</v>
      </c>
      <c r="L39" s="3445"/>
      <c r="N39" s="3460" t="s">
        <v>118</v>
      </c>
      <c r="O39" s="3452" t="s">
        <v>1274</v>
      </c>
      <c r="P39" s="3453"/>
    </row>
    <row r="40" spans="1:16" ht="48" customHeight="1" thickBot="1" x14ac:dyDescent="0.45">
      <c r="C40" s="3459"/>
      <c r="D40" s="1061"/>
      <c r="E40" s="1061"/>
      <c r="F40" s="1054"/>
      <c r="G40" s="1061"/>
      <c r="H40" s="1061"/>
      <c r="J40" s="3461"/>
      <c r="K40" s="1034" t="s">
        <v>409</v>
      </c>
      <c r="L40" s="985" t="s">
        <v>1226</v>
      </c>
      <c r="N40" s="3463"/>
      <c r="O40" s="1034" t="s">
        <v>409</v>
      </c>
      <c r="P40" s="985" t="s">
        <v>1226</v>
      </c>
    </row>
    <row r="41" spans="1:16" ht="24" x14ac:dyDescent="0.4">
      <c r="C41" s="1062"/>
      <c r="D41" s="1054"/>
      <c r="E41" s="1054"/>
      <c r="F41" s="1054"/>
      <c r="G41" s="1054"/>
      <c r="H41" s="1054"/>
      <c r="J41" s="1063" t="s">
        <v>158</v>
      </c>
      <c r="K41" s="1064">
        <v>1858</v>
      </c>
      <c r="L41" s="1065">
        <v>1336</v>
      </c>
      <c r="N41" s="1063" t="s">
        <v>158</v>
      </c>
      <c r="O41" s="1065">
        <v>349</v>
      </c>
      <c r="P41" s="1065">
        <v>158</v>
      </c>
    </row>
    <row r="42" spans="1:16" ht="24" x14ac:dyDescent="0.4">
      <c r="C42" s="1062"/>
      <c r="D42" s="1054"/>
      <c r="E42" s="1054"/>
      <c r="F42" s="1054"/>
      <c r="G42" s="1054"/>
      <c r="H42" s="1054"/>
      <c r="J42" s="1066" t="s">
        <v>159</v>
      </c>
      <c r="K42" s="1067">
        <v>1858</v>
      </c>
      <c r="L42" s="1068">
        <v>1338</v>
      </c>
      <c r="N42" s="1066" t="s">
        <v>159</v>
      </c>
      <c r="O42" s="1068">
        <v>349</v>
      </c>
      <c r="P42" s="1068">
        <v>152</v>
      </c>
    </row>
    <row r="43" spans="1:16" ht="24" x14ac:dyDescent="0.4">
      <c r="C43" s="1062"/>
      <c r="D43" s="1054"/>
      <c r="E43" s="1054"/>
      <c r="F43" s="1054"/>
      <c r="G43" s="1054"/>
      <c r="H43" s="1054"/>
      <c r="J43" s="1066" t="s">
        <v>160</v>
      </c>
      <c r="K43" s="1067">
        <v>1858</v>
      </c>
      <c r="L43" s="1068">
        <v>1338</v>
      </c>
      <c r="N43" s="1066" t="s">
        <v>160</v>
      </c>
      <c r="O43" s="1068">
        <v>349</v>
      </c>
      <c r="P43" s="1068">
        <v>152</v>
      </c>
    </row>
    <row r="44" spans="1:16" ht="24" x14ac:dyDescent="0.4">
      <c r="C44" s="1062"/>
      <c r="D44" s="1054"/>
      <c r="E44" s="1054"/>
      <c r="F44" s="1054"/>
      <c r="G44" s="1054"/>
      <c r="H44" s="1054"/>
      <c r="J44" s="1066" t="s">
        <v>161</v>
      </c>
      <c r="K44" s="1067">
        <f>K45-8</f>
        <v>1858</v>
      </c>
      <c r="L44" s="1068">
        <v>1322</v>
      </c>
      <c r="N44" s="1066" t="s">
        <v>161</v>
      </c>
      <c r="O44" s="1068">
        <v>349</v>
      </c>
      <c r="P44" s="1068">
        <v>147</v>
      </c>
    </row>
    <row r="45" spans="1:16" ht="24" x14ac:dyDescent="0.4">
      <c r="C45" s="1062"/>
      <c r="D45" s="1054"/>
      <c r="E45" s="1054"/>
      <c r="F45" s="39"/>
      <c r="G45" s="1054"/>
      <c r="H45" s="1054"/>
      <c r="J45" s="1066" t="s">
        <v>162</v>
      </c>
      <c r="K45" s="1067">
        <v>1866</v>
      </c>
      <c r="L45" s="1068">
        <v>1325</v>
      </c>
      <c r="N45" s="1066" t="s">
        <v>162</v>
      </c>
      <c r="O45" s="1068">
        <v>349</v>
      </c>
      <c r="P45" s="1068">
        <v>148</v>
      </c>
    </row>
    <row r="46" spans="1:16" ht="24" x14ac:dyDescent="0.4">
      <c r="C46" s="1062"/>
      <c r="D46" s="1054"/>
      <c r="E46" s="1054"/>
      <c r="G46" s="1054"/>
      <c r="H46" s="1054"/>
      <c r="J46" s="1066" t="s">
        <v>163</v>
      </c>
      <c r="K46" s="1067">
        <v>1866</v>
      </c>
      <c r="L46" s="1068">
        <v>1302</v>
      </c>
      <c r="N46" s="1066" t="s">
        <v>163</v>
      </c>
      <c r="O46" s="1068">
        <v>349</v>
      </c>
      <c r="P46" s="1068">
        <f>97+28</f>
        <v>125</v>
      </c>
    </row>
    <row r="47" spans="1:16" ht="24" x14ac:dyDescent="0.4">
      <c r="C47" s="1062"/>
      <c r="D47" s="1054"/>
      <c r="E47" s="1054"/>
      <c r="G47" s="1054"/>
      <c r="H47" s="1054"/>
      <c r="J47" s="1066" t="s">
        <v>164</v>
      </c>
      <c r="K47" s="1067">
        <v>1866</v>
      </c>
      <c r="L47" s="1068">
        <v>1288</v>
      </c>
      <c r="N47" s="1066" t="s">
        <v>164</v>
      </c>
      <c r="O47" s="1068">
        <v>349</v>
      </c>
      <c r="P47" s="1068">
        <v>121</v>
      </c>
    </row>
    <row r="48" spans="1:16" ht="24" x14ac:dyDescent="0.4">
      <c r="C48" s="1062"/>
      <c r="D48" s="1054"/>
      <c r="E48" s="1054"/>
      <c r="G48" s="1054"/>
      <c r="H48" s="1054"/>
      <c r="J48" s="1066" t="s">
        <v>520</v>
      </c>
      <c r="K48" s="1067">
        <f>K49-4</f>
        <v>1866</v>
      </c>
      <c r="L48" s="1068">
        <v>1247</v>
      </c>
      <c r="N48" s="1066" t="s">
        <v>520</v>
      </c>
      <c r="O48" s="1068">
        <v>349</v>
      </c>
      <c r="P48" s="1068">
        <v>117</v>
      </c>
    </row>
    <row r="49" spans="3:16" ht="24" x14ac:dyDescent="0.4">
      <c r="C49" s="1062"/>
      <c r="D49" s="1054"/>
      <c r="E49" s="1054"/>
      <c r="G49" s="1054"/>
      <c r="H49" s="1054"/>
      <c r="J49" s="1066" t="s">
        <v>166</v>
      </c>
      <c r="K49" s="1067">
        <f>K50+29</f>
        <v>1870</v>
      </c>
      <c r="L49" s="1068">
        <v>1250</v>
      </c>
      <c r="N49" s="1066" t="s">
        <v>166</v>
      </c>
      <c r="O49" s="1068">
        <v>349</v>
      </c>
      <c r="P49" s="1068">
        <v>114</v>
      </c>
    </row>
    <row r="50" spans="3:16" ht="24" x14ac:dyDescent="0.4">
      <c r="C50" s="1062"/>
      <c r="D50" s="1054"/>
      <c r="E50" s="1054"/>
      <c r="G50" s="1054"/>
      <c r="H50" s="1054"/>
      <c r="J50" s="1066" t="s">
        <v>521</v>
      </c>
      <c r="K50" s="1067">
        <v>1841</v>
      </c>
      <c r="L50" s="1068">
        <v>1252</v>
      </c>
      <c r="N50" s="1066" t="s">
        <v>521</v>
      </c>
      <c r="O50" s="1068">
        <v>348</v>
      </c>
      <c r="P50" s="1068">
        <v>112</v>
      </c>
    </row>
    <row r="51" spans="3:16" ht="24" x14ac:dyDescent="0.4">
      <c r="C51" s="1062"/>
      <c r="D51" s="1054"/>
      <c r="E51" s="1054"/>
      <c r="G51" s="1054"/>
      <c r="H51" s="1054"/>
      <c r="J51" s="1066" t="s">
        <v>168</v>
      </c>
      <c r="K51" s="1067">
        <v>1841</v>
      </c>
      <c r="L51" s="1068">
        <v>1267</v>
      </c>
      <c r="N51" s="1066" t="s">
        <v>168</v>
      </c>
      <c r="O51" s="1068">
        <v>348</v>
      </c>
      <c r="P51" s="1068">
        <v>120</v>
      </c>
    </row>
    <row r="52" spans="3:16" ht="24.75" thickBot="1" x14ac:dyDescent="0.45">
      <c r="C52" s="1062"/>
      <c r="D52" s="39"/>
      <c r="E52" s="39"/>
      <c r="G52" s="1054"/>
      <c r="H52" s="39"/>
      <c r="J52" s="1069" t="s">
        <v>169</v>
      </c>
      <c r="K52" s="1070">
        <v>1841</v>
      </c>
      <c r="L52" s="1071">
        <v>1294</v>
      </c>
      <c r="N52" s="1069" t="s">
        <v>169</v>
      </c>
      <c r="O52" s="1071">
        <v>348</v>
      </c>
      <c r="P52" s="1071">
        <v>127</v>
      </c>
    </row>
    <row r="53" spans="3:16" x14ac:dyDescent="0.4">
      <c r="J53" s="141" t="s">
        <v>1278</v>
      </c>
      <c r="N53" s="141" t="s">
        <v>1278</v>
      </c>
    </row>
  </sheetData>
  <mergeCells count="63">
    <mergeCell ref="A1:F1"/>
    <mergeCell ref="A2:F2"/>
    <mergeCell ref="A3:A4"/>
    <mergeCell ref="B3:B4"/>
    <mergeCell ref="C3:D4"/>
    <mergeCell ref="E3:F3"/>
    <mergeCell ref="A5:A8"/>
    <mergeCell ref="C5:D5"/>
    <mergeCell ref="C6:D6"/>
    <mergeCell ref="C7:D7"/>
    <mergeCell ref="B8:D8"/>
    <mergeCell ref="E9:E10"/>
    <mergeCell ref="F9:F10"/>
    <mergeCell ref="C10:D10"/>
    <mergeCell ref="B11:B12"/>
    <mergeCell ref="C11:D11"/>
    <mergeCell ref="E11:E12"/>
    <mergeCell ref="F11:F12"/>
    <mergeCell ref="C12:D12"/>
    <mergeCell ref="B9:B10"/>
    <mergeCell ref="C9:D9"/>
    <mergeCell ref="C14:D14"/>
    <mergeCell ref="C15:D15"/>
    <mergeCell ref="B16:D16"/>
    <mergeCell ref="A17:A21"/>
    <mergeCell ref="B17:B18"/>
    <mergeCell ref="C17:D17"/>
    <mergeCell ref="B21:D21"/>
    <mergeCell ref="A9:A16"/>
    <mergeCell ref="B13:B15"/>
    <mergeCell ref="C13:D13"/>
    <mergeCell ref="E17:E18"/>
    <mergeCell ref="F17:F18"/>
    <mergeCell ref="C18:D18"/>
    <mergeCell ref="B19:B20"/>
    <mergeCell ref="C19:D19"/>
    <mergeCell ref="E19:E20"/>
    <mergeCell ref="F19:F20"/>
    <mergeCell ref="C20:D20"/>
    <mergeCell ref="A22:D22"/>
    <mergeCell ref="A25:F25"/>
    <mergeCell ref="A26:F26"/>
    <mergeCell ref="A27:B28"/>
    <mergeCell ref="C27:F27"/>
    <mergeCell ref="C28:D28"/>
    <mergeCell ref="E28:F28"/>
    <mergeCell ref="A29:B30"/>
    <mergeCell ref="C29:D30"/>
    <mergeCell ref="E29:F30"/>
    <mergeCell ref="A31:B32"/>
    <mergeCell ref="C31:D32"/>
    <mergeCell ref="E31:F32"/>
    <mergeCell ref="O39:P39"/>
    <mergeCell ref="A33:B33"/>
    <mergeCell ref="C33:D33"/>
    <mergeCell ref="E33:F33"/>
    <mergeCell ref="J38:L38"/>
    <mergeCell ref="N38:P38"/>
    <mergeCell ref="C39:C40"/>
    <mergeCell ref="G39:H39"/>
    <mergeCell ref="J39:J40"/>
    <mergeCell ref="K39:L39"/>
    <mergeCell ref="N39:N40"/>
  </mergeCells>
  <printOptions horizontalCentered="1" verticalCentered="1"/>
  <pageMargins left="0.39370078740157483" right="0.35433070866141736" top="0.23622047244094491" bottom="0.31496062992125984" header="0.51181102362204722" footer="0.51181102362204722"/>
  <pageSetup paperSize="9" scale="85" firstPageNumber="12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00B050"/>
  </sheetPr>
  <dimension ref="A1:J27"/>
  <sheetViews>
    <sheetView workbookViewId="0">
      <selection activeCell="E8" sqref="E8"/>
    </sheetView>
  </sheetViews>
  <sheetFormatPr defaultColWidth="7" defaultRowHeight="15.75" x14ac:dyDescent="0.2"/>
  <cols>
    <col min="1" max="1" width="11" style="17" bestFit="1" customWidth="1"/>
    <col min="2" max="2" width="9.125" style="17" bestFit="1" customWidth="1"/>
    <col min="3" max="3" width="32.625" style="17" bestFit="1" customWidth="1"/>
    <col min="4" max="4" width="10.75" style="17" customWidth="1"/>
    <col min="5" max="5" width="9" style="17" bestFit="1" customWidth="1"/>
    <col min="6" max="6" width="38.375" style="17" bestFit="1" customWidth="1"/>
    <col min="7" max="7" width="9.625" style="17" customWidth="1"/>
    <col min="8" max="8" width="9" style="17" customWidth="1"/>
    <col min="9" max="9" width="38" style="17" bestFit="1" customWidth="1"/>
    <col min="10" max="10" width="4.125" style="17" customWidth="1"/>
    <col min="11" max="16384" width="7" style="17"/>
  </cols>
  <sheetData>
    <row r="1" spans="1:10" ht="24" customHeight="1" thickBot="1" x14ac:dyDescent="0.25">
      <c r="D1" s="3533" t="s">
        <v>68</v>
      </c>
      <c r="E1" s="3533"/>
      <c r="F1" s="3533"/>
      <c r="G1" s="3533"/>
      <c r="H1" s="3533"/>
      <c r="I1" s="3533"/>
      <c r="J1" s="24"/>
    </row>
    <row r="2" spans="1:10" ht="3.75" hidden="1" customHeight="1" x14ac:dyDescent="0.2">
      <c r="G2" s="25"/>
      <c r="H2" s="25"/>
      <c r="I2" s="25"/>
    </row>
    <row r="3" spans="1:10" ht="22.5" customHeight="1" thickBot="1" x14ac:dyDescent="0.25">
      <c r="D3" s="3530" t="s">
        <v>69</v>
      </c>
      <c r="E3" s="3531"/>
      <c r="F3" s="3531"/>
      <c r="G3" s="3530" t="s">
        <v>70</v>
      </c>
      <c r="H3" s="3531"/>
      <c r="I3" s="3532"/>
      <c r="J3" s="3534" t="s">
        <v>1152</v>
      </c>
    </row>
    <row r="4" spans="1:10" ht="41.25" customHeight="1" thickBot="1" x14ac:dyDescent="0.25">
      <c r="D4" s="2268" t="s">
        <v>71</v>
      </c>
      <c r="E4" s="2269" t="s">
        <v>72</v>
      </c>
      <c r="F4" s="2270" t="s">
        <v>51</v>
      </c>
      <c r="G4" s="2268" t="s">
        <v>71</v>
      </c>
      <c r="H4" s="2269" t="s">
        <v>72</v>
      </c>
      <c r="I4" s="2270" t="s">
        <v>51</v>
      </c>
      <c r="J4" s="3535"/>
    </row>
    <row r="5" spans="1:10" ht="22.5" customHeight="1" x14ac:dyDescent="0.45">
      <c r="A5" s="26"/>
      <c r="B5" s="27"/>
      <c r="C5" s="28"/>
      <c r="D5" s="29">
        <v>5222.0296934999997</v>
      </c>
      <c r="E5" s="30">
        <v>6388.0675000000001</v>
      </c>
      <c r="F5" s="31" t="s">
        <v>73</v>
      </c>
      <c r="G5" s="29">
        <v>5278.1596479999998</v>
      </c>
      <c r="H5" s="30">
        <v>6553.4605000000001</v>
      </c>
      <c r="I5" s="31" t="s">
        <v>73</v>
      </c>
      <c r="J5" s="2260">
        <v>1</v>
      </c>
    </row>
    <row r="6" spans="1:10" ht="22.5" customHeight="1" x14ac:dyDescent="0.45">
      <c r="A6" s="26"/>
      <c r="B6" s="27"/>
      <c r="C6" s="28"/>
      <c r="D6" s="32">
        <v>2145.6324450100001</v>
      </c>
      <c r="E6" s="33">
        <v>2195.4718199999998</v>
      </c>
      <c r="F6" s="34" t="s">
        <v>74</v>
      </c>
      <c r="G6" s="32">
        <v>2606.5533371899992</v>
      </c>
      <c r="H6" s="33">
        <v>2686.9579499999991</v>
      </c>
      <c r="I6" s="34" t="s">
        <v>74</v>
      </c>
      <c r="J6" s="2262">
        <v>2</v>
      </c>
    </row>
    <row r="7" spans="1:10" ht="22.5" customHeight="1" x14ac:dyDescent="0.45">
      <c r="A7" s="26"/>
      <c r="B7" s="27"/>
      <c r="C7" s="28"/>
      <c r="D7" s="32">
        <v>2075.1203985000002</v>
      </c>
      <c r="E7" s="33">
        <v>2197.3589999999999</v>
      </c>
      <c r="F7" s="35" t="s">
        <v>75</v>
      </c>
      <c r="G7" s="32">
        <v>2408.7878470000001</v>
      </c>
      <c r="H7" s="33">
        <v>3109.1824999999999</v>
      </c>
      <c r="I7" s="35" t="s">
        <v>75</v>
      </c>
      <c r="J7" s="2262">
        <v>3</v>
      </c>
    </row>
    <row r="8" spans="1:10" ht="22.5" customHeight="1" x14ac:dyDescent="0.45">
      <c r="A8" s="26"/>
      <c r="B8" s="27"/>
      <c r="C8" s="28"/>
      <c r="D8" s="32">
        <v>1947.3408235999998</v>
      </c>
      <c r="E8" s="33">
        <v>3888.3017</v>
      </c>
      <c r="F8" s="34" t="s">
        <v>76</v>
      </c>
      <c r="G8" s="32">
        <v>2283.9066451000008</v>
      </c>
      <c r="H8" s="33">
        <v>4469.5305499999986</v>
      </c>
      <c r="I8" s="34" t="s">
        <v>76</v>
      </c>
      <c r="J8" s="2262">
        <v>4</v>
      </c>
    </row>
    <row r="9" spans="1:10" ht="22.5" customHeight="1" x14ac:dyDescent="0.45">
      <c r="A9" s="26"/>
      <c r="B9" s="27"/>
      <c r="C9" s="28"/>
      <c r="D9" s="32">
        <v>1426.1462922000001</v>
      </c>
      <c r="E9" s="33">
        <v>1979.65158</v>
      </c>
      <c r="F9" s="35" t="s">
        <v>77</v>
      </c>
      <c r="G9" s="32">
        <v>1234.2577747</v>
      </c>
      <c r="H9" s="33">
        <v>1399.7665</v>
      </c>
      <c r="I9" s="35" t="s">
        <v>78</v>
      </c>
      <c r="J9" s="2262">
        <v>5</v>
      </c>
    </row>
    <row r="10" spans="1:10" ht="22.5" customHeight="1" x14ac:dyDescent="0.45">
      <c r="A10" s="26"/>
      <c r="B10" s="27"/>
      <c r="C10" s="28"/>
      <c r="D10" s="32">
        <v>1370.28941396</v>
      </c>
      <c r="E10" s="33">
        <v>1306.16733</v>
      </c>
      <c r="F10" s="34" t="s">
        <v>79</v>
      </c>
      <c r="G10" s="32">
        <v>1174.4295059099998</v>
      </c>
      <c r="H10" s="33">
        <v>1130.1414299999999</v>
      </c>
      <c r="I10" s="34" t="s">
        <v>79</v>
      </c>
      <c r="J10" s="2262">
        <v>6</v>
      </c>
    </row>
    <row r="11" spans="1:10" ht="22.5" customHeight="1" x14ac:dyDescent="0.45">
      <c r="A11" s="26"/>
      <c r="B11" s="27"/>
      <c r="C11" s="28"/>
      <c r="D11" s="32">
        <v>1200.4808915199999</v>
      </c>
      <c r="E11" s="33">
        <v>1294.1439499999999</v>
      </c>
      <c r="F11" s="34" t="s">
        <v>81</v>
      </c>
      <c r="G11" s="32">
        <v>1109.3999725799999</v>
      </c>
      <c r="H11" s="33">
        <v>1149.9258900000002</v>
      </c>
      <c r="I11" s="34" t="s">
        <v>81</v>
      </c>
      <c r="J11" s="2262">
        <v>7</v>
      </c>
    </row>
    <row r="12" spans="1:10" ht="22.5" customHeight="1" x14ac:dyDescent="0.45">
      <c r="A12" s="26"/>
      <c r="B12" s="27"/>
      <c r="C12" s="28"/>
      <c r="D12" s="32">
        <v>1129.7051650000001</v>
      </c>
      <c r="E12" s="33">
        <v>1618.0907999999999</v>
      </c>
      <c r="F12" s="35" t="s">
        <v>78</v>
      </c>
      <c r="G12" s="32">
        <v>966.75539247000017</v>
      </c>
      <c r="H12" s="33">
        <v>853.64479000000006</v>
      </c>
      <c r="I12" s="35" t="s">
        <v>80</v>
      </c>
      <c r="J12" s="2262">
        <v>8</v>
      </c>
    </row>
    <row r="13" spans="1:10" ht="22.5" customHeight="1" x14ac:dyDescent="0.45">
      <c r="A13" s="26"/>
      <c r="B13" s="27"/>
      <c r="C13" s="28"/>
      <c r="D13" s="32">
        <v>1045.07204675</v>
      </c>
      <c r="E13" s="33">
        <v>944.94021999999995</v>
      </c>
      <c r="F13" s="34" t="s">
        <v>80</v>
      </c>
      <c r="G13" s="32">
        <v>822.60837504999961</v>
      </c>
      <c r="H13" s="33">
        <v>743.87684999999988</v>
      </c>
      <c r="I13" s="34" t="s">
        <v>82</v>
      </c>
      <c r="J13" s="2262">
        <v>9</v>
      </c>
    </row>
    <row r="14" spans="1:10" ht="22.5" customHeight="1" x14ac:dyDescent="0.45">
      <c r="A14" s="26"/>
      <c r="B14" s="27"/>
      <c r="C14" s="28"/>
      <c r="D14" s="32">
        <v>1030.1067642999999</v>
      </c>
      <c r="E14" s="33">
        <v>3555.2357000000002</v>
      </c>
      <c r="F14" s="34" t="s">
        <v>83</v>
      </c>
      <c r="G14" s="32">
        <v>785.62152680999986</v>
      </c>
      <c r="H14" s="33">
        <v>2962.2323199999996</v>
      </c>
      <c r="I14" s="34" t="s">
        <v>83</v>
      </c>
      <c r="J14" s="2262">
        <v>10</v>
      </c>
    </row>
    <row r="15" spans="1:10" ht="22.5" customHeight="1" thickBot="1" x14ac:dyDescent="0.5">
      <c r="A15" s="36"/>
      <c r="B15" s="36"/>
      <c r="C15" s="28"/>
      <c r="D15" s="32">
        <v>6251.4148808000027</v>
      </c>
      <c r="E15" s="33">
        <v>8972.4837699999953</v>
      </c>
      <c r="F15" s="37" t="s">
        <v>84</v>
      </c>
      <c r="G15" s="32">
        <f>G16-SUM(G5:G14)</f>
        <v>7742.4032000100051</v>
      </c>
      <c r="H15" s="33">
        <f>H16-SUM(H5:H14)</f>
        <v>12868.69638999999</v>
      </c>
      <c r="I15" s="37" t="s">
        <v>85</v>
      </c>
      <c r="J15" s="2264">
        <v>11</v>
      </c>
    </row>
    <row r="16" spans="1:10" ht="24.75" customHeight="1" thickBot="1" x14ac:dyDescent="0.25">
      <c r="A16" s="26"/>
      <c r="B16" s="27"/>
      <c r="C16" s="28"/>
      <c r="D16" s="2271">
        <v>24291.90459219</v>
      </c>
      <c r="E16" s="2272">
        <v>34948.011350000001</v>
      </c>
      <c r="F16" s="2273" t="s">
        <v>9</v>
      </c>
      <c r="G16" s="2271">
        <v>26412.883224820001</v>
      </c>
      <c r="H16" s="2272">
        <v>37927.415669999988</v>
      </c>
      <c r="I16" s="3536" t="s">
        <v>66</v>
      </c>
      <c r="J16" s="3537"/>
    </row>
    <row r="17" spans="7:10" ht="15.75" customHeight="1" x14ac:dyDescent="0.2">
      <c r="G17" s="38"/>
      <c r="H17" s="38"/>
      <c r="I17" s="2274" t="s">
        <v>86</v>
      </c>
      <c r="J17" s="23"/>
    </row>
    <row r="18" spans="7:10" ht="15.75" customHeight="1" x14ac:dyDescent="0.2">
      <c r="G18" s="21"/>
      <c r="H18" s="21"/>
      <c r="I18" s="38"/>
      <c r="J18" s="23"/>
    </row>
    <row r="26" spans="7:10" ht="21" customHeight="1" x14ac:dyDescent="0.2"/>
    <row r="27" spans="7:10" ht="21" customHeight="1" x14ac:dyDescent="0.2"/>
  </sheetData>
  <mergeCells count="5">
    <mergeCell ref="D3:F3"/>
    <mergeCell ref="G3:I3"/>
    <mergeCell ref="D1:I1"/>
    <mergeCell ref="J3:J4"/>
    <mergeCell ref="I16:J16"/>
  </mergeCells>
  <printOptions horizontalCentered="1" verticalCentered="1"/>
  <pageMargins left="0.70866141732283472" right="0.70866141732283472" top="0.74803149606299213" bottom="5.8661417322834648" header="0.31496062992125984" footer="0.31496062992125984"/>
  <pageSetup paperSize="9" scale="8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00B050"/>
  </sheetPr>
  <dimension ref="A1:E87"/>
  <sheetViews>
    <sheetView workbookViewId="0">
      <selection activeCell="E3" sqref="E3:E15"/>
    </sheetView>
  </sheetViews>
  <sheetFormatPr defaultColWidth="7" defaultRowHeight="15.75" x14ac:dyDescent="0.2"/>
  <cols>
    <col min="1" max="1" width="18.375" style="17" customWidth="1"/>
    <col min="2" max="2" width="26.125" style="17" customWidth="1"/>
    <col min="3" max="3" width="10.75" style="17" customWidth="1"/>
    <col min="4" max="4" width="30" style="17" customWidth="1"/>
    <col min="5" max="16384" width="7" style="17"/>
  </cols>
  <sheetData>
    <row r="1" spans="1:5" ht="15.75" customHeight="1" x14ac:dyDescent="0.2">
      <c r="A1" s="3538" t="s">
        <v>46</v>
      </c>
      <c r="B1" s="3538"/>
      <c r="C1" s="3538"/>
      <c r="D1" s="3538"/>
    </row>
    <row r="2" spans="1:5" ht="24" customHeight="1" thickBot="1" x14ac:dyDescent="0.25">
      <c r="A2" s="3539"/>
      <c r="B2" s="3539"/>
      <c r="C2" s="3539"/>
      <c r="D2" s="3539"/>
    </row>
    <row r="3" spans="1:5" ht="23.25" customHeight="1" thickBot="1" x14ac:dyDescent="0.25">
      <c r="A3" s="3540" t="s">
        <v>47</v>
      </c>
      <c r="B3" s="3541"/>
      <c r="C3" s="3540" t="s">
        <v>48</v>
      </c>
      <c r="D3" s="3541"/>
      <c r="E3" s="3543" t="s">
        <v>1152</v>
      </c>
    </row>
    <row r="4" spans="1:5" ht="23.25" customHeight="1" thickBot="1" x14ac:dyDescent="0.25">
      <c r="A4" s="2254" t="s">
        <v>49</v>
      </c>
      <c r="B4" s="2255" t="s">
        <v>50</v>
      </c>
      <c r="C4" s="2254" t="s">
        <v>49</v>
      </c>
      <c r="D4" s="2256" t="s">
        <v>51</v>
      </c>
      <c r="E4" s="3544"/>
    </row>
    <row r="5" spans="1:5" ht="23.25" customHeight="1" x14ac:dyDescent="0.45">
      <c r="A5" s="18">
        <v>489.71100000000001</v>
      </c>
      <c r="B5" s="2265" t="s">
        <v>52</v>
      </c>
      <c r="C5" s="18">
        <v>323.71499999999997</v>
      </c>
      <c r="D5" s="2259" t="s">
        <v>53</v>
      </c>
      <c r="E5" s="2260">
        <v>1</v>
      </c>
    </row>
    <row r="6" spans="1:5" ht="23.25" customHeight="1" x14ac:dyDescent="0.45">
      <c r="A6" s="19">
        <v>480.67200000000003</v>
      </c>
      <c r="B6" s="2266" t="s">
        <v>54</v>
      </c>
      <c r="C6" s="19">
        <v>258.72800000000001</v>
      </c>
      <c r="D6" s="2261" t="s">
        <v>54</v>
      </c>
      <c r="E6" s="2262">
        <v>2</v>
      </c>
    </row>
    <row r="7" spans="1:5" ht="23.25" customHeight="1" x14ac:dyDescent="0.45">
      <c r="A7" s="19">
        <v>318.161</v>
      </c>
      <c r="B7" s="2266" t="s">
        <v>53</v>
      </c>
      <c r="C7" s="19">
        <v>251.87200000000001</v>
      </c>
      <c r="D7" s="2261" t="s">
        <v>52</v>
      </c>
      <c r="E7" s="2262">
        <v>3</v>
      </c>
    </row>
    <row r="8" spans="1:5" ht="23.25" customHeight="1" x14ac:dyDescent="0.45">
      <c r="A8" s="19">
        <v>249.46100000000001</v>
      </c>
      <c r="B8" s="2266" t="s">
        <v>55</v>
      </c>
      <c r="C8" s="19">
        <v>201.26599999999999</v>
      </c>
      <c r="D8" s="2261" t="s">
        <v>55</v>
      </c>
      <c r="E8" s="2262">
        <v>4</v>
      </c>
    </row>
    <row r="9" spans="1:5" ht="23.25" customHeight="1" x14ac:dyDescent="0.45">
      <c r="A9" s="19">
        <v>212.87</v>
      </c>
      <c r="B9" s="2266" t="s">
        <v>56</v>
      </c>
      <c r="C9" s="19">
        <v>177.625</v>
      </c>
      <c r="D9" s="2261" t="s">
        <v>57</v>
      </c>
      <c r="E9" s="2262">
        <v>5</v>
      </c>
    </row>
    <row r="10" spans="1:5" ht="23.25" customHeight="1" x14ac:dyDescent="0.45">
      <c r="A10" s="19">
        <v>192.30600000000001</v>
      </c>
      <c r="B10" s="2266" t="s">
        <v>57</v>
      </c>
      <c r="C10" s="19">
        <v>127.38200000000001</v>
      </c>
      <c r="D10" s="2261" t="s">
        <v>56</v>
      </c>
      <c r="E10" s="2262">
        <v>6</v>
      </c>
    </row>
    <row r="11" spans="1:5" ht="23.25" customHeight="1" x14ac:dyDescent="0.45">
      <c r="A11" s="19">
        <v>185.73400000000001</v>
      </c>
      <c r="B11" s="2266" t="s">
        <v>58</v>
      </c>
      <c r="C11" s="19">
        <v>122.625</v>
      </c>
      <c r="D11" s="2261" t="s">
        <v>59</v>
      </c>
      <c r="E11" s="2262">
        <v>7</v>
      </c>
    </row>
    <row r="12" spans="1:5" ht="23.25" customHeight="1" x14ac:dyDescent="0.45">
      <c r="A12" s="19">
        <v>107.371</v>
      </c>
      <c r="B12" s="2266" t="s">
        <v>60</v>
      </c>
      <c r="C12" s="19">
        <v>122.508</v>
      </c>
      <c r="D12" s="2261" t="s">
        <v>61</v>
      </c>
      <c r="E12" s="2262">
        <v>8</v>
      </c>
    </row>
    <row r="13" spans="1:5" ht="23.25" customHeight="1" x14ac:dyDescent="0.45">
      <c r="A13" s="19">
        <v>76.537000000000006</v>
      </c>
      <c r="B13" s="2266" t="s">
        <v>62</v>
      </c>
      <c r="C13" s="19">
        <v>60.185000000000002</v>
      </c>
      <c r="D13" s="2261" t="s">
        <v>63</v>
      </c>
      <c r="E13" s="2262">
        <v>9</v>
      </c>
    </row>
    <row r="14" spans="1:5" ht="23.25" customHeight="1" x14ac:dyDescent="0.45">
      <c r="A14" s="19">
        <v>72.046999999999997</v>
      </c>
      <c r="B14" s="2266" t="s">
        <v>59</v>
      </c>
      <c r="C14" s="19">
        <v>50.57</v>
      </c>
      <c r="D14" s="2261" t="s">
        <v>64</v>
      </c>
      <c r="E14" s="2262">
        <v>10</v>
      </c>
    </row>
    <row r="15" spans="1:5" ht="23.25" customHeight="1" thickBot="1" x14ac:dyDescent="0.5">
      <c r="A15" s="20">
        <f>A16-SUM(A5:A14)</f>
        <v>2710.7539999999999</v>
      </c>
      <c r="B15" s="2267" t="s">
        <v>65</v>
      </c>
      <c r="C15" s="20">
        <f>C16-SUM(C5:C14)</f>
        <v>2200.7460000000001</v>
      </c>
      <c r="D15" s="2263" t="s">
        <v>65</v>
      </c>
      <c r="E15" s="2264">
        <v>11</v>
      </c>
    </row>
    <row r="16" spans="1:5" ht="23.25" customHeight="1" thickBot="1" x14ac:dyDescent="0.25">
      <c r="A16" s="2257">
        <v>5095.6239999999998</v>
      </c>
      <c r="B16" s="2258" t="s">
        <v>66</v>
      </c>
      <c r="C16" s="2257">
        <v>3897.2220000000002</v>
      </c>
      <c r="D16" s="3545" t="s">
        <v>66</v>
      </c>
      <c r="E16" s="3546"/>
    </row>
    <row r="17" spans="1:4" ht="23.25" customHeight="1" x14ac:dyDescent="0.2">
      <c r="A17" s="21"/>
      <c r="B17" s="21"/>
      <c r="C17" s="3542" t="s">
        <v>67</v>
      </c>
      <c r="D17" s="3542"/>
    </row>
    <row r="18" spans="1:4" ht="23.25" customHeight="1" x14ac:dyDescent="0.5">
      <c r="A18" s="21"/>
      <c r="B18" s="22"/>
      <c r="C18" s="23"/>
      <c r="D18" s="23"/>
    </row>
    <row r="19" spans="1:4" ht="25.5" customHeight="1" x14ac:dyDescent="0.2">
      <c r="A19" s="21"/>
      <c r="B19" s="21"/>
      <c r="C19" s="21"/>
    </row>
    <row r="20" spans="1:4" ht="18.75" customHeight="1" x14ac:dyDescent="0.2">
      <c r="A20" s="21"/>
      <c r="B20" s="21"/>
      <c r="C20" s="21"/>
    </row>
    <row r="21" spans="1:4" ht="16.5" customHeight="1" x14ac:dyDescent="0.2">
      <c r="A21" s="21"/>
    </row>
    <row r="22" spans="1:4" ht="14.25" customHeight="1" x14ac:dyDescent="0.2">
      <c r="A22" s="21"/>
    </row>
    <row r="23" spans="1:4" ht="14.25" customHeight="1" x14ac:dyDescent="0.2"/>
    <row r="24" spans="1:4" ht="14.25" customHeight="1" x14ac:dyDescent="0.2">
      <c r="D24" s="21"/>
    </row>
    <row r="25" spans="1:4" ht="14.25" customHeight="1" x14ac:dyDescent="0.2"/>
    <row r="26" spans="1:4" ht="14.25" customHeight="1" x14ac:dyDescent="0.2"/>
    <row r="27" spans="1:4" ht="14.25" customHeight="1" x14ac:dyDescent="0.2"/>
    <row r="28" spans="1:4" ht="14.25" customHeight="1" x14ac:dyDescent="0.2"/>
    <row r="29" spans="1:4" ht="14.25" customHeight="1" x14ac:dyDescent="0.2"/>
    <row r="30" spans="1:4" ht="14.25" customHeight="1" x14ac:dyDescent="0.2"/>
    <row r="31" spans="1:4" ht="14.25" customHeight="1" x14ac:dyDescent="0.2"/>
    <row r="32" spans="1:4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21.75" customHeight="1" x14ac:dyDescent="0.2"/>
    <row r="49" ht="14.25" customHeight="1" x14ac:dyDescent="0.2"/>
    <row r="52" ht="21" customHeight="1" x14ac:dyDescent="0.2"/>
    <row r="53" ht="21" customHeight="1" x14ac:dyDescent="0.2"/>
    <row r="86" ht="21" customHeight="1" x14ac:dyDescent="0.2"/>
    <row r="87" ht="21" customHeight="1" x14ac:dyDescent="0.2"/>
  </sheetData>
  <mergeCells count="6">
    <mergeCell ref="A1:D2"/>
    <mergeCell ref="A3:B3"/>
    <mergeCell ref="C3:D3"/>
    <mergeCell ref="C17:D17"/>
    <mergeCell ref="E3:E4"/>
    <mergeCell ref="D16:E16"/>
  </mergeCells>
  <printOptions horizontalCentered="1" verticalCentered="1"/>
  <pageMargins left="0.70866141732283472" right="0.70866141732283472" top="5.6692913385826778" bottom="0.74803149606299213" header="0.31496062992125984" footer="0.31496062992125984"/>
  <pageSetup paperSize="9" scale="80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theme="3"/>
    <pageSetUpPr fitToPage="1"/>
  </sheetPr>
  <dimension ref="F2:Q25"/>
  <sheetViews>
    <sheetView rightToLeft="1" topLeftCell="G1" workbookViewId="0">
      <selection activeCell="Q5" sqref="Q5"/>
    </sheetView>
  </sheetViews>
  <sheetFormatPr defaultColWidth="9.125" defaultRowHeight="18" x14ac:dyDescent="0.5"/>
  <cols>
    <col min="1" max="5" width="0" style="923" hidden="1" customWidth="1"/>
    <col min="6" max="6" width="5.625" style="923" hidden="1" customWidth="1"/>
    <col min="7" max="7" width="12.875" style="923" customWidth="1"/>
    <col min="8" max="8" width="27.75" style="923" customWidth="1"/>
    <col min="9" max="9" width="16.625" style="923" customWidth="1"/>
    <col min="10" max="10" width="7.75" style="923" customWidth="1"/>
    <col min="11" max="11" width="18.25" style="923" customWidth="1"/>
    <col min="12" max="12" width="15.25" style="923" customWidth="1"/>
    <col min="13" max="16" width="9.125" style="923"/>
    <col min="17" max="17" width="12.375" style="923" bestFit="1" customWidth="1"/>
    <col min="18" max="16384" width="9.125" style="923"/>
  </cols>
  <sheetData>
    <row r="2" spans="7:17" ht="22.5" thickBot="1" x14ac:dyDescent="0.55000000000000004">
      <c r="G2" s="3575" t="s">
        <v>1124</v>
      </c>
      <c r="H2" s="3575"/>
      <c r="I2" s="3575"/>
      <c r="J2" s="3575"/>
      <c r="K2" s="3575"/>
      <c r="L2" s="3575"/>
    </row>
    <row r="3" spans="7:17" ht="33" customHeight="1" thickTop="1" thickBot="1" x14ac:dyDescent="0.55000000000000004">
      <c r="G3" s="2245" t="s">
        <v>190</v>
      </c>
      <c r="H3" s="2246" t="s">
        <v>1125</v>
      </c>
      <c r="I3" s="3576" t="s">
        <v>132</v>
      </c>
      <c r="J3" s="3577"/>
      <c r="K3" s="3577" t="s">
        <v>1126</v>
      </c>
      <c r="L3" s="3578"/>
    </row>
    <row r="4" spans="7:17" ht="19.5" customHeight="1" thickTop="1" x14ac:dyDescent="0.5">
      <c r="G4" s="2247">
        <v>1</v>
      </c>
      <c r="H4" s="2248" t="s">
        <v>1127</v>
      </c>
      <c r="I4" s="3579">
        <v>11202124</v>
      </c>
      <c r="J4" s="3580"/>
      <c r="K4" s="3581">
        <v>5999119698</v>
      </c>
      <c r="L4" s="3582"/>
      <c r="Q4" s="777"/>
    </row>
    <row r="5" spans="7:17" ht="19.5" customHeight="1" x14ac:dyDescent="0.5">
      <c r="G5" s="2249">
        <v>2</v>
      </c>
      <c r="H5" s="2250" t="s">
        <v>1128</v>
      </c>
      <c r="I5" s="3562">
        <v>6649792</v>
      </c>
      <c r="J5" s="3563"/>
      <c r="K5" s="3564">
        <v>617047538</v>
      </c>
      <c r="L5" s="3565"/>
      <c r="Q5" s="777"/>
    </row>
    <row r="6" spans="7:17" ht="19.5" customHeight="1" x14ac:dyDescent="0.5">
      <c r="G6" s="2249">
        <v>3</v>
      </c>
      <c r="H6" s="2250" t="s">
        <v>1129</v>
      </c>
      <c r="I6" s="3562">
        <v>2156982</v>
      </c>
      <c r="J6" s="3563"/>
      <c r="K6" s="3564">
        <v>1437105052.9233487</v>
      </c>
      <c r="L6" s="3565"/>
      <c r="Q6" s="777"/>
    </row>
    <row r="7" spans="7:17" ht="19.5" customHeight="1" x14ac:dyDescent="0.5">
      <c r="G7" s="2249">
        <v>4</v>
      </c>
      <c r="H7" s="2250" t="s">
        <v>1130</v>
      </c>
      <c r="I7" s="3562">
        <v>1969877</v>
      </c>
      <c r="J7" s="3563"/>
      <c r="K7" s="3564">
        <v>1781176906.8255188</v>
      </c>
      <c r="L7" s="3565"/>
      <c r="Q7" s="777"/>
    </row>
    <row r="8" spans="7:17" ht="19.5" customHeight="1" x14ac:dyDescent="0.5">
      <c r="G8" s="2249">
        <v>5</v>
      </c>
      <c r="H8" s="2250" t="s">
        <v>1131</v>
      </c>
      <c r="I8" s="3562">
        <v>1875595</v>
      </c>
      <c r="J8" s="3563"/>
      <c r="K8" s="3564">
        <v>1389520631.710923</v>
      </c>
      <c r="L8" s="3565"/>
      <c r="Q8" s="777"/>
    </row>
    <row r="9" spans="7:17" ht="19.5" customHeight="1" x14ac:dyDescent="0.5">
      <c r="G9" s="2249">
        <v>6</v>
      </c>
      <c r="H9" s="2250" t="s">
        <v>1132</v>
      </c>
      <c r="I9" s="3562">
        <v>1874840</v>
      </c>
      <c r="J9" s="3563"/>
      <c r="K9" s="3564">
        <v>1095100701.2590487</v>
      </c>
      <c r="L9" s="3565"/>
      <c r="Q9" s="777"/>
    </row>
    <row r="10" spans="7:17" ht="19.5" customHeight="1" x14ac:dyDescent="0.5">
      <c r="G10" s="2249">
        <v>7</v>
      </c>
      <c r="H10" s="2250" t="s">
        <v>1133</v>
      </c>
      <c r="I10" s="3562">
        <v>1873219</v>
      </c>
      <c r="J10" s="3563"/>
      <c r="K10" s="3564">
        <v>1178944482.2137587</v>
      </c>
      <c r="L10" s="3565"/>
      <c r="Q10" s="777"/>
    </row>
    <row r="11" spans="7:17" ht="19.5" customHeight="1" x14ac:dyDescent="0.5">
      <c r="G11" s="2249">
        <v>8</v>
      </c>
      <c r="H11" s="2250" t="s">
        <v>1134</v>
      </c>
      <c r="I11" s="3562">
        <v>1102838</v>
      </c>
      <c r="J11" s="3563"/>
      <c r="K11" s="3564">
        <v>668114918.26078582</v>
      </c>
      <c r="L11" s="3565"/>
      <c r="Q11" s="777"/>
    </row>
    <row r="12" spans="7:17" ht="19.5" customHeight="1" x14ac:dyDescent="0.5">
      <c r="G12" s="2249">
        <v>9</v>
      </c>
      <c r="H12" s="2250" t="s">
        <v>1135</v>
      </c>
      <c r="I12" s="3562">
        <v>868979</v>
      </c>
      <c r="J12" s="3563"/>
      <c r="K12" s="3564">
        <v>700648374.81681168</v>
      </c>
      <c r="L12" s="3565"/>
      <c r="Q12" s="777"/>
    </row>
    <row r="13" spans="7:17" ht="19.5" customHeight="1" thickBot="1" x14ac:dyDescent="0.55000000000000004">
      <c r="G13" s="2251">
        <v>10</v>
      </c>
      <c r="H13" s="2252" t="s">
        <v>1136</v>
      </c>
      <c r="I13" s="3566">
        <v>566738</v>
      </c>
      <c r="J13" s="3567"/>
      <c r="K13" s="3568">
        <v>491741990.98977572</v>
      </c>
      <c r="L13" s="3569"/>
      <c r="Q13" s="777"/>
    </row>
    <row r="14" spans="7:17" ht="21.75" thickTop="1" thickBot="1" x14ac:dyDescent="0.55000000000000004">
      <c r="G14" s="3570" t="s">
        <v>66</v>
      </c>
      <c r="H14" s="3571"/>
      <c r="I14" s="3572">
        <f>SUM(I4:J13)</f>
        <v>30140984</v>
      </c>
      <c r="J14" s="3573"/>
      <c r="K14" s="3573">
        <f>SUM(K4:L13)</f>
        <v>15358520294.999971</v>
      </c>
      <c r="L14" s="3574"/>
    </row>
    <row r="15" spans="7:17" ht="19.5" x14ac:dyDescent="0.5">
      <c r="G15" s="3554" t="s">
        <v>1137</v>
      </c>
      <c r="H15" s="3554"/>
      <c r="I15" s="3554"/>
      <c r="J15" s="3554"/>
      <c r="K15" s="141"/>
      <c r="L15" s="141"/>
    </row>
    <row r="16" spans="7:17" x14ac:dyDescent="0.5">
      <c r="G16" s="141"/>
      <c r="H16" s="141"/>
      <c r="I16" s="141"/>
      <c r="J16" s="141"/>
      <c r="K16" s="141"/>
      <c r="L16" s="141"/>
    </row>
    <row r="17" spans="7:14" ht="22.5" thickBot="1" x14ac:dyDescent="0.55000000000000004">
      <c r="G17" s="3555" t="s">
        <v>1138</v>
      </c>
      <c r="H17" s="3555"/>
      <c r="I17" s="3555"/>
      <c r="J17" s="3555"/>
      <c r="K17" s="3555"/>
      <c r="L17" s="3555"/>
    </row>
    <row r="18" spans="7:14" ht="35.25" customHeight="1" thickTop="1" thickBot="1" x14ac:dyDescent="0.55000000000000004">
      <c r="G18" s="3556" t="s">
        <v>592</v>
      </c>
      <c r="H18" s="3557"/>
      <c r="I18" s="3558"/>
      <c r="J18" s="2253" t="s">
        <v>119</v>
      </c>
      <c r="K18" s="2243" t="s">
        <v>1139</v>
      </c>
      <c r="L18" s="2244" t="s">
        <v>1140</v>
      </c>
    </row>
    <row r="19" spans="7:14" ht="19.5" x14ac:dyDescent="0.5">
      <c r="G19" s="3559" t="s">
        <v>1141</v>
      </c>
      <c r="H19" s="3560"/>
      <c r="I19" s="3561"/>
      <c r="J19" s="930" t="s">
        <v>1142</v>
      </c>
      <c r="K19" s="931">
        <f>(I14-I4)/1000</f>
        <v>18938.86</v>
      </c>
      <c r="L19" s="932">
        <f>I4/1000</f>
        <v>11202.124</v>
      </c>
      <c r="M19" s="933"/>
      <c r="N19" s="934"/>
    </row>
    <row r="20" spans="7:14" ht="19.5" x14ac:dyDescent="0.5">
      <c r="G20" s="3547" t="s">
        <v>1143</v>
      </c>
      <c r="H20" s="3548"/>
      <c r="I20" s="3549"/>
      <c r="J20" s="935" t="s">
        <v>1142</v>
      </c>
      <c r="K20" s="936">
        <v>21481.826000000001</v>
      </c>
      <c r="L20" s="937">
        <v>12448.331</v>
      </c>
      <c r="M20" s="933"/>
    </row>
    <row r="21" spans="7:14" ht="19.5" x14ac:dyDescent="0.5">
      <c r="G21" s="3547" t="s">
        <v>1144</v>
      </c>
      <c r="H21" s="3548"/>
      <c r="I21" s="3549"/>
      <c r="J21" s="935" t="s">
        <v>1145</v>
      </c>
      <c r="K21" s="936">
        <f>(K14-K4)/1000000</f>
        <v>9359.4005969999707</v>
      </c>
      <c r="L21" s="937">
        <f>K4/1000000</f>
        <v>5999.1196980000004</v>
      </c>
      <c r="M21" s="933"/>
    </row>
    <row r="22" spans="7:14" ht="19.5" x14ac:dyDescent="0.5">
      <c r="G22" s="3547" t="s">
        <v>1146</v>
      </c>
      <c r="H22" s="3548"/>
      <c r="I22" s="3549"/>
      <c r="J22" s="935" t="s">
        <v>1145</v>
      </c>
      <c r="K22" s="936">
        <v>10272.816280000001</v>
      </c>
      <c r="L22" s="937">
        <v>6619.8713179999995</v>
      </c>
      <c r="M22" s="933"/>
    </row>
    <row r="23" spans="7:14" ht="19.5" x14ac:dyDescent="0.5">
      <c r="G23" s="3547" t="s">
        <v>1147</v>
      </c>
      <c r="H23" s="3548"/>
      <c r="I23" s="3549"/>
      <c r="J23" s="935" t="s">
        <v>1148</v>
      </c>
      <c r="K23" s="936">
        <v>40666</v>
      </c>
      <c r="L23" s="937">
        <v>28428</v>
      </c>
      <c r="M23" s="933"/>
    </row>
    <row r="24" spans="7:14" ht="20.25" thickBot="1" x14ac:dyDescent="0.55000000000000004">
      <c r="G24" s="3550" t="s">
        <v>1149</v>
      </c>
      <c r="H24" s="3551"/>
      <c r="I24" s="3552"/>
      <c r="J24" s="938" t="s">
        <v>1150</v>
      </c>
      <c r="K24" s="939">
        <f>K19/K20</f>
        <v>0.88162244680689617</v>
      </c>
      <c r="L24" s="940">
        <f>L19/L20</f>
        <v>0.89988963179079984</v>
      </c>
      <c r="M24" s="933"/>
    </row>
    <row r="25" spans="7:14" ht="18.75" thickTop="1" x14ac:dyDescent="0.5">
      <c r="G25" s="3553" t="s">
        <v>1137</v>
      </c>
      <c r="H25" s="3553"/>
      <c r="I25" s="3553"/>
      <c r="J25" s="3553"/>
    </row>
  </sheetData>
  <mergeCells count="36">
    <mergeCell ref="I5:J5"/>
    <mergeCell ref="K5:L5"/>
    <mergeCell ref="G2:L2"/>
    <mergeCell ref="I3:J3"/>
    <mergeCell ref="K3:L3"/>
    <mergeCell ref="I4:J4"/>
    <mergeCell ref="K4:L4"/>
    <mergeCell ref="I6:J6"/>
    <mergeCell ref="K6:L6"/>
    <mergeCell ref="I7:J7"/>
    <mergeCell ref="K7:L7"/>
    <mergeCell ref="I8:J8"/>
    <mergeCell ref="K8:L8"/>
    <mergeCell ref="I9:J9"/>
    <mergeCell ref="K9:L9"/>
    <mergeCell ref="I10:J10"/>
    <mergeCell ref="K10:L10"/>
    <mergeCell ref="I11:J11"/>
    <mergeCell ref="K11:L11"/>
    <mergeCell ref="I12:J12"/>
    <mergeCell ref="K12:L12"/>
    <mergeCell ref="I13:J13"/>
    <mergeCell ref="K13:L13"/>
    <mergeCell ref="G14:H14"/>
    <mergeCell ref="I14:J14"/>
    <mergeCell ref="K14:L14"/>
    <mergeCell ref="G22:I22"/>
    <mergeCell ref="G23:I23"/>
    <mergeCell ref="G24:I24"/>
    <mergeCell ref="G25:J25"/>
    <mergeCell ref="G15:J15"/>
    <mergeCell ref="G17:L17"/>
    <mergeCell ref="G18:I18"/>
    <mergeCell ref="G19:I19"/>
    <mergeCell ref="G20:I20"/>
    <mergeCell ref="G21:I2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theme="3"/>
  </sheetPr>
  <dimension ref="A1:T146"/>
  <sheetViews>
    <sheetView rightToLeft="1" workbookViewId="0">
      <selection activeCell="H11" sqref="H11"/>
    </sheetView>
  </sheetViews>
  <sheetFormatPr defaultColWidth="10.625" defaultRowHeight="14.25" x14ac:dyDescent="0.2"/>
  <cols>
    <col min="1" max="1" width="7.125" style="941" customWidth="1"/>
    <col min="2" max="2" width="28" style="941" customWidth="1"/>
    <col min="3" max="3" width="18.125" style="967" customWidth="1"/>
    <col min="4" max="4" width="16.625" style="941" customWidth="1"/>
    <col min="5" max="5" width="15.5" style="941" customWidth="1"/>
    <col min="6" max="6" width="19" style="941" customWidth="1"/>
    <col min="7" max="7" width="28.375" style="941" customWidth="1"/>
    <col min="8" max="10" width="19" style="941" customWidth="1"/>
    <col min="11" max="11" width="7.75" style="941" bestFit="1" customWidth="1"/>
    <col min="12" max="13" width="5.625" style="941" bestFit="1" customWidth="1"/>
    <col min="14" max="14" width="4.625" style="941" bestFit="1" customWidth="1"/>
    <col min="15" max="20" width="2.625" style="941" bestFit="1" customWidth="1"/>
    <col min="21" max="63" width="3.5" style="941" bestFit="1" customWidth="1"/>
    <col min="64" max="167" width="4.625" style="941" bestFit="1" customWidth="1"/>
    <col min="168" max="168" width="13.875" style="941" bestFit="1" customWidth="1"/>
    <col min="169" max="169" width="7.75" style="941" bestFit="1" customWidth="1"/>
    <col min="170" max="177" width="2.375" style="941" bestFit="1" customWidth="1"/>
    <col min="178" max="267" width="3.5" style="941" bestFit="1" customWidth="1"/>
    <col min="268" max="1155" width="4.625" style="941" bestFit="1" customWidth="1"/>
    <col min="1156" max="3436" width="5.875" style="941" bestFit="1" customWidth="1"/>
    <col min="3437" max="3551" width="7" style="941" bestFit="1" customWidth="1"/>
    <col min="3552" max="3552" width="11.375" style="941" bestFit="1" customWidth="1"/>
    <col min="3553" max="3553" width="12.5" style="941" bestFit="1" customWidth="1"/>
    <col min="3554" max="3562" width="2.375" style="941" bestFit="1" customWidth="1"/>
    <col min="3563" max="3652" width="3.5" style="941" bestFit="1" customWidth="1"/>
    <col min="3653" max="4442" width="4.625" style="941" bestFit="1" customWidth="1"/>
    <col min="4443" max="4812" width="5.875" style="941" bestFit="1" customWidth="1"/>
    <col min="4813" max="4917" width="7" style="941" bestFit="1" customWidth="1"/>
    <col min="4918" max="4918" width="16.375" style="941" bestFit="1" customWidth="1"/>
    <col min="4919" max="4919" width="7.125" style="941" bestFit="1" customWidth="1"/>
    <col min="4920" max="4927" width="2.375" style="941" bestFit="1" customWidth="1"/>
    <col min="4928" max="5017" width="3.5" style="941" bestFit="1" customWidth="1"/>
    <col min="5018" max="5268" width="4.625" style="941" bestFit="1" customWidth="1"/>
    <col min="5269" max="5279" width="5.875" style="941" bestFit="1" customWidth="1"/>
    <col min="5280" max="5280" width="10.75" style="941" bestFit="1" customWidth="1"/>
    <col min="5281" max="5281" width="13.75" style="941" bestFit="1" customWidth="1"/>
    <col min="5282" max="16384" width="10.625" style="941"/>
  </cols>
  <sheetData>
    <row r="1" spans="1:6" ht="12.75" x14ac:dyDescent="0.2">
      <c r="C1" s="941"/>
    </row>
    <row r="2" spans="1:6" ht="22.5" thickBot="1" x14ac:dyDescent="0.25">
      <c r="B2" s="3583" t="s">
        <v>1151</v>
      </c>
      <c r="C2" s="3583"/>
      <c r="D2" s="3583"/>
      <c r="E2" s="3583"/>
      <c r="F2" s="3583"/>
    </row>
    <row r="3" spans="1:6" ht="39.75" customHeight="1" thickBot="1" x14ac:dyDescent="0.25">
      <c r="A3" s="2227" t="s">
        <v>1152</v>
      </c>
      <c r="B3" s="2228" t="s">
        <v>1153</v>
      </c>
      <c r="C3" s="2040" t="s">
        <v>1087</v>
      </c>
      <c r="D3" s="2229" t="s">
        <v>1088</v>
      </c>
      <c r="E3" s="2029" t="s">
        <v>1081</v>
      </c>
      <c r="F3" s="2230" t="s">
        <v>170</v>
      </c>
    </row>
    <row r="4" spans="1:6" ht="19.5" x14ac:dyDescent="0.5">
      <c r="A4" s="2231">
        <v>1</v>
      </c>
      <c r="B4" s="2232" t="s">
        <v>1127</v>
      </c>
      <c r="C4" s="950">
        <v>8352951</v>
      </c>
      <c r="D4" s="951">
        <v>2847990</v>
      </c>
      <c r="E4" s="951">
        <v>1183</v>
      </c>
      <c r="F4" s="952">
        <f t="shared" ref="F4:F13" si="0">SUM(C4:E4)</f>
        <v>11202124</v>
      </c>
    </row>
    <row r="5" spans="1:6" ht="19.5" x14ac:dyDescent="0.5">
      <c r="A5" s="2171">
        <v>2</v>
      </c>
      <c r="B5" s="2172" t="s">
        <v>1128</v>
      </c>
      <c r="C5" s="955">
        <v>1882</v>
      </c>
      <c r="D5" s="810">
        <v>6647910</v>
      </c>
      <c r="E5" s="810"/>
      <c r="F5" s="956">
        <f t="shared" si="0"/>
        <v>6649792</v>
      </c>
    </row>
    <row r="6" spans="1:6" ht="19.5" x14ac:dyDescent="0.5">
      <c r="A6" s="2171">
        <v>3</v>
      </c>
      <c r="B6" s="2172" t="s">
        <v>1129</v>
      </c>
      <c r="C6" s="955">
        <v>2153421</v>
      </c>
      <c r="D6" s="810"/>
      <c r="E6" s="810">
        <v>3561</v>
      </c>
      <c r="F6" s="956">
        <f t="shared" si="0"/>
        <v>2156982</v>
      </c>
    </row>
    <row r="7" spans="1:6" ht="19.5" x14ac:dyDescent="0.5">
      <c r="A7" s="2171">
        <v>4</v>
      </c>
      <c r="B7" s="2172" t="s">
        <v>1130</v>
      </c>
      <c r="C7" s="955">
        <v>1969877</v>
      </c>
      <c r="D7" s="810"/>
      <c r="E7" s="810"/>
      <c r="F7" s="956">
        <f t="shared" si="0"/>
        <v>1969877</v>
      </c>
    </row>
    <row r="8" spans="1:6" ht="19.5" x14ac:dyDescent="0.5">
      <c r="A8" s="2171">
        <v>5</v>
      </c>
      <c r="B8" s="2172" t="s">
        <v>1131</v>
      </c>
      <c r="C8" s="955">
        <v>1875595</v>
      </c>
      <c r="D8" s="810"/>
      <c r="E8" s="810"/>
      <c r="F8" s="956">
        <f t="shared" si="0"/>
        <v>1875595</v>
      </c>
    </row>
    <row r="9" spans="1:6" ht="19.5" x14ac:dyDescent="0.5">
      <c r="A9" s="2171">
        <v>6</v>
      </c>
      <c r="B9" s="2172" t="s">
        <v>1132</v>
      </c>
      <c r="C9" s="955">
        <v>1874840</v>
      </c>
      <c r="D9" s="810"/>
      <c r="E9" s="810"/>
      <c r="F9" s="956">
        <f t="shared" si="0"/>
        <v>1874840</v>
      </c>
    </row>
    <row r="10" spans="1:6" ht="19.5" x14ac:dyDescent="0.5">
      <c r="A10" s="2171">
        <v>7</v>
      </c>
      <c r="B10" s="2172" t="s">
        <v>1133</v>
      </c>
      <c r="C10" s="955">
        <v>1873219</v>
      </c>
      <c r="D10" s="810"/>
      <c r="E10" s="810"/>
      <c r="F10" s="956">
        <f t="shared" si="0"/>
        <v>1873219</v>
      </c>
    </row>
    <row r="11" spans="1:6" ht="19.5" x14ac:dyDescent="0.5">
      <c r="A11" s="2171">
        <v>8</v>
      </c>
      <c r="B11" s="2172" t="s">
        <v>1134</v>
      </c>
      <c r="C11" s="955">
        <v>1102838</v>
      </c>
      <c r="D11" s="810"/>
      <c r="E11" s="810"/>
      <c r="F11" s="956">
        <f t="shared" si="0"/>
        <v>1102838</v>
      </c>
    </row>
    <row r="12" spans="1:6" ht="19.5" x14ac:dyDescent="0.5">
      <c r="A12" s="2171">
        <v>9</v>
      </c>
      <c r="B12" s="2172" t="s">
        <v>1135</v>
      </c>
      <c r="C12" s="955">
        <v>868979</v>
      </c>
      <c r="D12" s="810"/>
      <c r="E12" s="810"/>
      <c r="F12" s="956">
        <f t="shared" si="0"/>
        <v>868979</v>
      </c>
    </row>
    <row r="13" spans="1:6" ht="21.75" thickBot="1" x14ac:dyDescent="0.6">
      <c r="A13" s="2171">
        <v>10</v>
      </c>
      <c r="B13" s="2233" t="s">
        <v>1136</v>
      </c>
      <c r="C13" s="955">
        <v>566738</v>
      </c>
      <c r="D13" s="810"/>
      <c r="E13" s="810"/>
      <c r="F13" s="956">
        <f t="shared" si="0"/>
        <v>566738</v>
      </c>
    </row>
    <row r="14" spans="1:6" ht="21.75" thickBot="1" x14ac:dyDescent="0.25">
      <c r="A14" s="3584" t="s">
        <v>170</v>
      </c>
      <c r="B14" s="3585" t="s">
        <v>170</v>
      </c>
      <c r="C14" s="2240">
        <f>SUM(C4:C13)</f>
        <v>20640340</v>
      </c>
      <c r="D14" s="2241">
        <f>SUM(D4:D13)</f>
        <v>9495900</v>
      </c>
      <c r="E14" s="2241">
        <f>SUM(E4:E13)</f>
        <v>4744</v>
      </c>
      <c r="F14" s="2242">
        <f>SUM(F4:F13)</f>
        <v>30140984</v>
      </c>
    </row>
    <row r="15" spans="1:6" ht="18.75" x14ac:dyDescent="0.45">
      <c r="B15" s="3554" t="s">
        <v>1137</v>
      </c>
      <c r="C15" s="3554"/>
      <c r="D15" s="3554"/>
      <c r="E15" s="3554"/>
    </row>
    <row r="16" spans="1:6" ht="26.25" customHeight="1" x14ac:dyDescent="0.2">
      <c r="C16" s="941"/>
    </row>
    <row r="17" spans="1:20" ht="12.75" x14ac:dyDescent="0.2">
      <c r="C17" s="941"/>
    </row>
    <row r="18" spans="1:20" ht="22.5" thickBot="1" x14ac:dyDescent="0.25">
      <c r="B18" s="3583" t="s">
        <v>1154</v>
      </c>
      <c r="C18" s="3583"/>
      <c r="D18" s="3583"/>
      <c r="E18" s="3583"/>
      <c r="F18" s="3583"/>
    </row>
    <row r="19" spans="1:20" ht="21.75" thickBot="1" x14ac:dyDescent="0.25">
      <c r="A19" s="2179" t="s">
        <v>1152</v>
      </c>
      <c r="B19" s="2180" t="s">
        <v>1153</v>
      </c>
      <c r="C19" s="2029" t="s">
        <v>1087</v>
      </c>
      <c r="D19" s="2229" t="s">
        <v>1088</v>
      </c>
      <c r="E19" s="2029" t="s">
        <v>1081</v>
      </c>
      <c r="F19" s="2230" t="s">
        <v>170</v>
      </c>
    </row>
    <row r="20" spans="1:20" ht="19.5" customHeight="1" x14ac:dyDescent="0.5">
      <c r="A20" s="2234">
        <v>1</v>
      </c>
      <c r="B20" s="2235" t="s">
        <v>1155</v>
      </c>
      <c r="C20" s="958">
        <v>5719809.7589999996</v>
      </c>
      <c r="D20" s="958">
        <v>278096.88699999999</v>
      </c>
      <c r="E20" s="958">
        <v>1213.0519999999999</v>
      </c>
      <c r="F20" s="952">
        <f t="shared" ref="F20:F29" si="1">SUM(C20:E20)</f>
        <v>5999119.6979999999</v>
      </c>
      <c r="G20" s="959"/>
      <c r="H20" s="960"/>
      <c r="I20" s="960"/>
      <c r="J20" s="961"/>
      <c r="K20" s="961"/>
      <c r="L20" s="961"/>
      <c r="M20" s="961"/>
      <c r="N20" s="961"/>
      <c r="O20" s="961"/>
      <c r="P20" s="961"/>
      <c r="Q20" s="961"/>
      <c r="R20" s="961"/>
      <c r="S20" s="961"/>
      <c r="T20" s="961"/>
    </row>
    <row r="21" spans="1:20" ht="20.25" customHeight="1" x14ac:dyDescent="0.5">
      <c r="A21" s="2236">
        <v>2</v>
      </c>
      <c r="B21" s="2237" t="s">
        <v>1128</v>
      </c>
      <c r="C21" s="962">
        <v>570.14</v>
      </c>
      <c r="D21" s="962">
        <v>616477.39800000004</v>
      </c>
      <c r="E21" s="810"/>
      <c r="F21" s="956">
        <f t="shared" si="1"/>
        <v>617047.53800000006</v>
      </c>
      <c r="G21" s="959"/>
      <c r="H21" s="960"/>
      <c r="I21" s="960"/>
      <c r="J21" s="960"/>
      <c r="K21" s="960"/>
      <c r="L21" s="960"/>
      <c r="M21" s="960"/>
    </row>
    <row r="22" spans="1:20" ht="19.5" customHeight="1" x14ac:dyDescent="0.5">
      <c r="A22" s="2236">
        <v>3</v>
      </c>
      <c r="B22" s="2237" t="s">
        <v>1129</v>
      </c>
      <c r="C22" s="962">
        <v>1431763.5529233487</v>
      </c>
      <c r="D22" s="810"/>
      <c r="E22" s="962">
        <v>5341.5</v>
      </c>
      <c r="F22" s="956">
        <f t="shared" si="1"/>
        <v>1437105.0529233487</v>
      </c>
      <c r="G22" s="960"/>
      <c r="H22" s="960"/>
      <c r="I22" s="960"/>
      <c r="J22" s="960"/>
      <c r="K22" s="960"/>
      <c r="L22" s="960"/>
      <c r="M22" s="960"/>
    </row>
    <row r="23" spans="1:20" ht="19.5" customHeight="1" x14ac:dyDescent="0.5">
      <c r="A23" s="2236">
        <v>4</v>
      </c>
      <c r="B23" s="2237" t="s">
        <v>1130</v>
      </c>
      <c r="C23" s="962">
        <v>1781176.9068255189</v>
      </c>
      <c r="D23" s="810"/>
      <c r="E23" s="810"/>
      <c r="F23" s="956">
        <f t="shared" si="1"/>
        <v>1781176.9068255189</v>
      </c>
      <c r="G23" s="960"/>
      <c r="H23" s="960"/>
      <c r="I23" s="960"/>
      <c r="J23" s="960"/>
      <c r="K23" s="960"/>
      <c r="L23" s="960"/>
      <c r="M23" s="960"/>
    </row>
    <row r="24" spans="1:20" ht="19.5" customHeight="1" x14ac:dyDescent="0.5">
      <c r="A24" s="2236">
        <v>5</v>
      </c>
      <c r="B24" s="2237" t="s">
        <v>1131</v>
      </c>
      <c r="C24" s="962">
        <v>1389520.631710923</v>
      </c>
      <c r="D24" s="810"/>
      <c r="E24" s="810"/>
      <c r="F24" s="956">
        <f t="shared" si="1"/>
        <v>1389520.631710923</v>
      </c>
      <c r="G24" s="960"/>
      <c r="H24" s="960"/>
      <c r="I24" s="960"/>
      <c r="J24" s="960"/>
      <c r="K24" s="960"/>
      <c r="L24" s="960"/>
      <c r="M24" s="960"/>
    </row>
    <row r="25" spans="1:20" ht="19.5" customHeight="1" x14ac:dyDescent="0.5">
      <c r="A25" s="2236">
        <v>6</v>
      </c>
      <c r="B25" s="2237" t="s">
        <v>1132</v>
      </c>
      <c r="C25" s="962">
        <v>1095100.7012590487</v>
      </c>
      <c r="D25" s="810"/>
      <c r="E25" s="810"/>
      <c r="F25" s="956">
        <f t="shared" si="1"/>
        <v>1095100.7012590487</v>
      </c>
      <c r="G25" s="960"/>
      <c r="H25" s="960"/>
      <c r="I25" s="960"/>
      <c r="J25" s="960"/>
      <c r="K25" s="960"/>
      <c r="L25" s="960"/>
      <c r="M25" s="960"/>
    </row>
    <row r="26" spans="1:20" ht="19.5" customHeight="1" x14ac:dyDescent="0.5">
      <c r="A26" s="2236">
        <v>7</v>
      </c>
      <c r="B26" s="2237" t="s">
        <v>1133</v>
      </c>
      <c r="C26" s="962">
        <v>1178944.4822137586</v>
      </c>
      <c r="D26" s="810"/>
      <c r="E26" s="810"/>
      <c r="F26" s="956">
        <f t="shared" si="1"/>
        <v>1178944.4822137586</v>
      </c>
      <c r="G26" s="960"/>
      <c r="H26" s="960"/>
      <c r="I26" s="960"/>
      <c r="J26" s="960"/>
      <c r="K26" s="960"/>
      <c r="L26" s="960"/>
      <c r="M26" s="960"/>
    </row>
    <row r="27" spans="1:20" ht="19.5" customHeight="1" x14ac:dyDescent="0.5">
      <c r="A27" s="2236">
        <v>8</v>
      </c>
      <c r="B27" s="2237" t="s">
        <v>1134</v>
      </c>
      <c r="C27" s="962">
        <v>668114.91826078587</v>
      </c>
      <c r="D27" s="810"/>
      <c r="E27" s="810"/>
      <c r="F27" s="956">
        <f t="shared" si="1"/>
        <v>668114.91826078587</v>
      </c>
      <c r="G27" s="960"/>
      <c r="H27" s="960"/>
      <c r="I27" s="960"/>
      <c r="J27" s="960"/>
      <c r="K27" s="960"/>
      <c r="L27" s="960"/>
      <c r="M27" s="960"/>
    </row>
    <row r="28" spans="1:20" ht="21" customHeight="1" x14ac:dyDescent="0.5">
      <c r="A28" s="2236">
        <v>9</v>
      </c>
      <c r="B28" s="2237" t="s">
        <v>1135</v>
      </c>
      <c r="C28" s="962">
        <v>700648.37481681164</v>
      </c>
      <c r="D28" s="810"/>
      <c r="E28" s="963"/>
      <c r="F28" s="956">
        <f t="shared" si="1"/>
        <v>700648.37481681164</v>
      </c>
      <c r="G28" s="960"/>
      <c r="H28" s="960"/>
      <c r="I28" s="960"/>
      <c r="J28" s="960"/>
      <c r="K28" s="960"/>
      <c r="L28" s="960"/>
      <c r="M28" s="960"/>
    </row>
    <row r="29" spans="1:20" ht="21" customHeight="1" thickBot="1" x14ac:dyDescent="0.6">
      <c r="A29" s="2238">
        <v>10</v>
      </c>
      <c r="B29" s="2239" t="s">
        <v>1136</v>
      </c>
      <c r="C29" s="964">
        <v>491741.99098977575</v>
      </c>
      <c r="D29" s="965"/>
      <c r="E29" s="965"/>
      <c r="F29" s="966">
        <f t="shared" si="1"/>
        <v>491741.99098977575</v>
      </c>
      <c r="G29" s="960"/>
      <c r="H29" s="960"/>
      <c r="I29" s="960"/>
      <c r="J29" s="960"/>
      <c r="K29" s="960"/>
      <c r="L29" s="960"/>
      <c r="M29" s="960"/>
    </row>
    <row r="30" spans="1:20" ht="21.75" thickBot="1" x14ac:dyDescent="0.25">
      <c r="A30" s="3586" t="s">
        <v>170</v>
      </c>
      <c r="B30" s="3587" t="s">
        <v>170</v>
      </c>
      <c r="C30" s="2241">
        <f>SUM(C20:C29)</f>
        <v>14457391.457999969</v>
      </c>
      <c r="D30" s="2241">
        <f>SUM(D20:D29)</f>
        <v>894574.28500000003</v>
      </c>
      <c r="E30" s="2241">
        <f>SUM(E20:E29)</f>
        <v>6554.5519999999997</v>
      </c>
      <c r="F30" s="2242">
        <f>SUM(F20:F29)</f>
        <v>15358520.29499997</v>
      </c>
    </row>
    <row r="31" spans="1:20" ht="18.75" x14ac:dyDescent="0.45">
      <c r="B31" s="3554" t="s">
        <v>1137</v>
      </c>
      <c r="C31" s="3554"/>
      <c r="D31" s="3554"/>
      <c r="E31" s="3554"/>
    </row>
    <row r="32" spans="1:20" ht="12.75" x14ac:dyDescent="0.2">
      <c r="C32" s="941"/>
    </row>
    <row r="33" spans="3:3" ht="12.75" x14ac:dyDescent="0.2">
      <c r="C33" s="941"/>
    </row>
    <row r="34" spans="3:3" ht="12.75" x14ac:dyDescent="0.2">
      <c r="C34" s="941"/>
    </row>
    <row r="35" spans="3:3" ht="12.75" x14ac:dyDescent="0.2">
      <c r="C35" s="941"/>
    </row>
    <row r="36" spans="3:3" ht="12.75" x14ac:dyDescent="0.2">
      <c r="C36" s="941"/>
    </row>
    <row r="37" spans="3:3" ht="12.75" x14ac:dyDescent="0.2">
      <c r="C37" s="941"/>
    </row>
    <row r="38" spans="3:3" ht="12.75" x14ac:dyDescent="0.2">
      <c r="C38" s="941"/>
    </row>
    <row r="39" spans="3:3" ht="12.75" x14ac:dyDescent="0.2">
      <c r="C39" s="941"/>
    </row>
    <row r="40" spans="3:3" ht="12.75" x14ac:dyDescent="0.2">
      <c r="C40" s="941"/>
    </row>
    <row r="41" spans="3:3" ht="12.75" x14ac:dyDescent="0.2">
      <c r="C41" s="941"/>
    </row>
    <row r="42" spans="3:3" ht="12.75" x14ac:dyDescent="0.2">
      <c r="C42" s="941"/>
    </row>
    <row r="43" spans="3:3" ht="12.75" x14ac:dyDescent="0.2">
      <c r="C43" s="941"/>
    </row>
    <row r="44" spans="3:3" ht="12.75" x14ac:dyDescent="0.2">
      <c r="C44" s="941"/>
    </row>
    <row r="45" spans="3:3" ht="12.75" x14ac:dyDescent="0.2">
      <c r="C45" s="941"/>
    </row>
    <row r="46" spans="3:3" ht="12.75" x14ac:dyDescent="0.2">
      <c r="C46" s="941"/>
    </row>
    <row r="47" spans="3:3" ht="12.75" x14ac:dyDescent="0.2">
      <c r="C47" s="941"/>
    </row>
    <row r="48" spans="3:3" ht="12.75" x14ac:dyDescent="0.2">
      <c r="C48" s="941"/>
    </row>
    <row r="49" spans="3:3" ht="12.75" x14ac:dyDescent="0.2">
      <c r="C49" s="941"/>
    </row>
    <row r="50" spans="3:3" ht="12.75" x14ac:dyDescent="0.2">
      <c r="C50" s="941"/>
    </row>
    <row r="51" spans="3:3" ht="12.75" x14ac:dyDescent="0.2">
      <c r="C51" s="941"/>
    </row>
    <row r="52" spans="3:3" ht="12.75" x14ac:dyDescent="0.2">
      <c r="C52" s="941"/>
    </row>
    <row r="53" spans="3:3" ht="12.75" x14ac:dyDescent="0.2">
      <c r="C53" s="941"/>
    </row>
    <row r="54" spans="3:3" ht="12.75" x14ac:dyDescent="0.2">
      <c r="C54" s="941"/>
    </row>
    <row r="55" spans="3:3" ht="12.75" x14ac:dyDescent="0.2">
      <c r="C55" s="941"/>
    </row>
    <row r="56" spans="3:3" ht="12.75" x14ac:dyDescent="0.2">
      <c r="C56" s="941"/>
    </row>
    <row r="57" spans="3:3" ht="12.75" x14ac:dyDescent="0.2">
      <c r="C57" s="941"/>
    </row>
    <row r="58" spans="3:3" ht="12.75" x14ac:dyDescent="0.2">
      <c r="C58" s="941"/>
    </row>
    <row r="59" spans="3:3" ht="12.75" x14ac:dyDescent="0.2">
      <c r="C59" s="941"/>
    </row>
    <row r="60" spans="3:3" ht="12.75" x14ac:dyDescent="0.2">
      <c r="C60" s="941"/>
    </row>
    <row r="61" spans="3:3" ht="12.75" x14ac:dyDescent="0.2">
      <c r="C61" s="941"/>
    </row>
    <row r="62" spans="3:3" ht="12.75" x14ac:dyDescent="0.2">
      <c r="C62" s="941"/>
    </row>
    <row r="63" spans="3:3" ht="12.75" x14ac:dyDescent="0.2">
      <c r="C63" s="941"/>
    </row>
    <row r="64" spans="3:3" ht="12.75" x14ac:dyDescent="0.2">
      <c r="C64" s="941"/>
    </row>
    <row r="65" spans="3:3" ht="12.75" x14ac:dyDescent="0.2">
      <c r="C65" s="941"/>
    </row>
    <row r="66" spans="3:3" ht="12.75" x14ac:dyDescent="0.2">
      <c r="C66" s="941"/>
    </row>
    <row r="67" spans="3:3" ht="12.75" x14ac:dyDescent="0.2">
      <c r="C67" s="941"/>
    </row>
    <row r="68" spans="3:3" ht="12.75" x14ac:dyDescent="0.2">
      <c r="C68" s="941"/>
    </row>
    <row r="69" spans="3:3" ht="12.75" x14ac:dyDescent="0.2">
      <c r="C69" s="941"/>
    </row>
    <row r="70" spans="3:3" ht="12.75" x14ac:dyDescent="0.2">
      <c r="C70" s="941"/>
    </row>
    <row r="71" spans="3:3" ht="12.75" x14ac:dyDescent="0.2">
      <c r="C71" s="941"/>
    </row>
    <row r="72" spans="3:3" ht="12.75" x14ac:dyDescent="0.2">
      <c r="C72" s="941"/>
    </row>
    <row r="73" spans="3:3" ht="12.75" x14ac:dyDescent="0.2">
      <c r="C73" s="941"/>
    </row>
    <row r="74" spans="3:3" ht="12.75" x14ac:dyDescent="0.2">
      <c r="C74" s="941"/>
    </row>
    <row r="75" spans="3:3" ht="12.75" x14ac:dyDescent="0.2">
      <c r="C75" s="941"/>
    </row>
    <row r="76" spans="3:3" ht="12.75" x14ac:dyDescent="0.2">
      <c r="C76" s="941"/>
    </row>
    <row r="77" spans="3:3" ht="12.75" x14ac:dyDescent="0.2">
      <c r="C77" s="941"/>
    </row>
    <row r="78" spans="3:3" ht="12.75" x14ac:dyDescent="0.2">
      <c r="C78" s="941"/>
    </row>
    <row r="79" spans="3:3" ht="12.75" x14ac:dyDescent="0.2">
      <c r="C79" s="941"/>
    </row>
    <row r="80" spans="3:3" ht="12.75" x14ac:dyDescent="0.2">
      <c r="C80" s="941"/>
    </row>
    <row r="81" spans="3:3" ht="12.75" x14ac:dyDescent="0.2">
      <c r="C81" s="941"/>
    </row>
    <row r="82" spans="3:3" ht="12.75" x14ac:dyDescent="0.2">
      <c r="C82" s="941"/>
    </row>
    <row r="83" spans="3:3" ht="12.75" x14ac:dyDescent="0.2">
      <c r="C83" s="941"/>
    </row>
    <row r="84" spans="3:3" ht="12.75" x14ac:dyDescent="0.2">
      <c r="C84" s="941"/>
    </row>
    <row r="85" spans="3:3" ht="12.75" x14ac:dyDescent="0.2">
      <c r="C85" s="941"/>
    </row>
    <row r="86" spans="3:3" ht="12.75" x14ac:dyDescent="0.2">
      <c r="C86" s="941"/>
    </row>
    <row r="87" spans="3:3" ht="12.75" x14ac:dyDescent="0.2">
      <c r="C87" s="941"/>
    </row>
    <row r="88" spans="3:3" ht="12.75" x14ac:dyDescent="0.2">
      <c r="C88" s="941"/>
    </row>
    <row r="89" spans="3:3" ht="12.75" x14ac:dyDescent="0.2">
      <c r="C89" s="941"/>
    </row>
    <row r="90" spans="3:3" ht="12.75" x14ac:dyDescent="0.2">
      <c r="C90" s="941"/>
    </row>
    <row r="91" spans="3:3" ht="12.75" x14ac:dyDescent="0.2">
      <c r="C91" s="941"/>
    </row>
    <row r="92" spans="3:3" ht="12.75" x14ac:dyDescent="0.2">
      <c r="C92" s="941"/>
    </row>
    <row r="93" spans="3:3" ht="12.75" x14ac:dyDescent="0.2">
      <c r="C93" s="941"/>
    </row>
    <row r="94" spans="3:3" ht="12.75" x14ac:dyDescent="0.2">
      <c r="C94" s="941"/>
    </row>
    <row r="95" spans="3:3" ht="12.75" x14ac:dyDescent="0.2">
      <c r="C95" s="941"/>
    </row>
    <row r="96" spans="3:3" ht="12.75" x14ac:dyDescent="0.2">
      <c r="C96" s="941"/>
    </row>
    <row r="97" spans="3:3" ht="12.75" x14ac:dyDescent="0.2">
      <c r="C97" s="941"/>
    </row>
    <row r="98" spans="3:3" ht="12.75" x14ac:dyDescent="0.2">
      <c r="C98" s="941"/>
    </row>
    <row r="99" spans="3:3" ht="12.75" x14ac:dyDescent="0.2">
      <c r="C99" s="941"/>
    </row>
    <row r="100" spans="3:3" ht="12.75" x14ac:dyDescent="0.2">
      <c r="C100" s="941"/>
    </row>
    <row r="101" spans="3:3" ht="12.75" x14ac:dyDescent="0.2">
      <c r="C101" s="941"/>
    </row>
    <row r="102" spans="3:3" ht="12.75" x14ac:dyDescent="0.2">
      <c r="C102" s="941"/>
    </row>
    <row r="103" spans="3:3" ht="12.75" x14ac:dyDescent="0.2">
      <c r="C103" s="941"/>
    </row>
    <row r="104" spans="3:3" ht="12.75" x14ac:dyDescent="0.2">
      <c r="C104" s="941"/>
    </row>
    <row r="105" spans="3:3" ht="12.75" x14ac:dyDescent="0.2">
      <c r="C105" s="941"/>
    </row>
    <row r="106" spans="3:3" ht="12.75" x14ac:dyDescent="0.2">
      <c r="C106" s="941"/>
    </row>
    <row r="107" spans="3:3" ht="12.75" x14ac:dyDescent="0.2">
      <c r="C107" s="941"/>
    </row>
    <row r="108" spans="3:3" ht="12.75" x14ac:dyDescent="0.2">
      <c r="C108" s="941"/>
    </row>
    <row r="109" spans="3:3" ht="12.75" x14ac:dyDescent="0.2">
      <c r="C109" s="941"/>
    </row>
    <row r="110" spans="3:3" ht="12.75" x14ac:dyDescent="0.2">
      <c r="C110" s="941"/>
    </row>
    <row r="111" spans="3:3" ht="12.75" x14ac:dyDescent="0.2">
      <c r="C111" s="941"/>
    </row>
    <row r="112" spans="3:3" ht="12.75" x14ac:dyDescent="0.2">
      <c r="C112" s="941"/>
    </row>
    <row r="113" spans="3:3" ht="12.75" x14ac:dyDescent="0.2">
      <c r="C113" s="941"/>
    </row>
    <row r="114" spans="3:3" ht="12.75" x14ac:dyDescent="0.2">
      <c r="C114" s="941"/>
    </row>
    <row r="115" spans="3:3" ht="12.75" x14ac:dyDescent="0.2">
      <c r="C115" s="941"/>
    </row>
    <row r="116" spans="3:3" ht="12.75" x14ac:dyDescent="0.2">
      <c r="C116" s="941"/>
    </row>
    <row r="117" spans="3:3" ht="12.75" x14ac:dyDescent="0.2">
      <c r="C117" s="941"/>
    </row>
    <row r="118" spans="3:3" ht="12.75" x14ac:dyDescent="0.2">
      <c r="C118" s="941"/>
    </row>
    <row r="119" spans="3:3" ht="12.75" x14ac:dyDescent="0.2">
      <c r="C119" s="941"/>
    </row>
    <row r="120" spans="3:3" ht="12.75" x14ac:dyDescent="0.2">
      <c r="C120" s="941"/>
    </row>
    <row r="121" spans="3:3" ht="12.75" x14ac:dyDescent="0.2">
      <c r="C121" s="941"/>
    </row>
    <row r="122" spans="3:3" ht="12.75" x14ac:dyDescent="0.2">
      <c r="C122" s="941"/>
    </row>
    <row r="123" spans="3:3" ht="12.75" x14ac:dyDescent="0.2">
      <c r="C123" s="941"/>
    </row>
    <row r="124" spans="3:3" ht="12.75" x14ac:dyDescent="0.2">
      <c r="C124" s="941"/>
    </row>
    <row r="125" spans="3:3" ht="12.75" x14ac:dyDescent="0.2">
      <c r="C125" s="941"/>
    </row>
    <row r="126" spans="3:3" ht="12.75" x14ac:dyDescent="0.2">
      <c r="C126" s="941"/>
    </row>
    <row r="127" spans="3:3" ht="12.75" x14ac:dyDescent="0.2">
      <c r="C127" s="941"/>
    </row>
    <row r="128" spans="3:3" ht="12.75" x14ac:dyDescent="0.2">
      <c r="C128" s="941"/>
    </row>
    <row r="129" spans="3:3" ht="12.75" x14ac:dyDescent="0.2">
      <c r="C129" s="941"/>
    </row>
    <row r="130" spans="3:3" ht="12.75" x14ac:dyDescent="0.2">
      <c r="C130" s="941"/>
    </row>
    <row r="131" spans="3:3" ht="12.75" x14ac:dyDescent="0.2">
      <c r="C131" s="941"/>
    </row>
    <row r="132" spans="3:3" ht="12.75" x14ac:dyDescent="0.2">
      <c r="C132" s="941"/>
    </row>
    <row r="133" spans="3:3" ht="12.75" x14ac:dyDescent="0.2">
      <c r="C133" s="941"/>
    </row>
    <row r="134" spans="3:3" ht="12.75" x14ac:dyDescent="0.2">
      <c r="C134" s="941"/>
    </row>
    <row r="135" spans="3:3" ht="12.75" x14ac:dyDescent="0.2">
      <c r="C135" s="941"/>
    </row>
    <row r="136" spans="3:3" ht="12.75" x14ac:dyDescent="0.2">
      <c r="C136" s="941"/>
    </row>
    <row r="137" spans="3:3" ht="12.75" x14ac:dyDescent="0.2">
      <c r="C137" s="941"/>
    </row>
    <row r="138" spans="3:3" ht="12.75" x14ac:dyDescent="0.2">
      <c r="C138" s="941"/>
    </row>
    <row r="139" spans="3:3" ht="12.75" x14ac:dyDescent="0.2">
      <c r="C139" s="941"/>
    </row>
    <row r="140" spans="3:3" ht="12.75" x14ac:dyDescent="0.2">
      <c r="C140" s="941"/>
    </row>
    <row r="141" spans="3:3" ht="12.75" x14ac:dyDescent="0.2">
      <c r="C141" s="941"/>
    </row>
    <row r="142" spans="3:3" ht="12.75" x14ac:dyDescent="0.2">
      <c r="C142" s="941"/>
    </row>
    <row r="143" spans="3:3" ht="12.75" x14ac:dyDescent="0.2">
      <c r="C143" s="941"/>
    </row>
    <row r="144" spans="3:3" ht="12.75" x14ac:dyDescent="0.2">
      <c r="C144" s="941"/>
    </row>
    <row r="145" spans="3:3" ht="12.75" x14ac:dyDescent="0.2">
      <c r="C145" s="941"/>
    </row>
    <row r="146" spans="3:3" ht="12.75" x14ac:dyDescent="0.2">
      <c r="C146" s="941"/>
    </row>
  </sheetData>
  <mergeCells count="6">
    <mergeCell ref="B31:E31"/>
    <mergeCell ref="B2:F2"/>
    <mergeCell ref="A14:B14"/>
    <mergeCell ref="B15:E15"/>
    <mergeCell ref="B18:F18"/>
    <mergeCell ref="A30:B30"/>
  </mergeCells>
  <printOptions horizontalCentered="1" verticalCentered="1"/>
  <pageMargins left="0.51181102362204722" right="0.51181102362204722" top="0" bottom="0" header="0.31496062992125984" footer="0.31496062992125984"/>
  <pageSetup paperSize="9" scale="80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rgb="FF92D050"/>
    <pageSetUpPr fitToPage="1"/>
  </sheetPr>
  <dimension ref="A1:I31"/>
  <sheetViews>
    <sheetView rightToLeft="1" zoomScaleNormal="100" workbookViewId="0">
      <selection activeCell="B13" sqref="A3:B13"/>
    </sheetView>
  </sheetViews>
  <sheetFormatPr defaultColWidth="10.625" defaultRowHeight="14.25" x14ac:dyDescent="0.2"/>
  <cols>
    <col min="1" max="1" width="6.125" style="875" bestFit="1" customWidth="1"/>
    <col min="2" max="2" width="29.875" style="875" customWidth="1"/>
    <col min="3" max="3" width="13.375" style="875" customWidth="1"/>
    <col min="4" max="4" width="14.125" style="875" bestFit="1" customWidth="1"/>
    <col min="5" max="5" width="9.5" style="875" bestFit="1" customWidth="1"/>
    <col min="6" max="6" width="17.75" style="875" customWidth="1"/>
    <col min="7" max="7" width="14.875" style="875" bestFit="1" customWidth="1"/>
    <col min="8" max="8" width="14.375" style="875" customWidth="1"/>
    <col min="9" max="16384" width="10.625" style="875"/>
  </cols>
  <sheetData>
    <row r="1" spans="1:8" ht="24.75" thickBot="1" x14ac:dyDescent="0.25">
      <c r="A1" s="2865" t="s">
        <v>1156</v>
      </c>
      <c r="B1" s="2865"/>
      <c r="C1" s="2865"/>
      <c r="D1" s="2865"/>
      <c r="E1" s="2865"/>
      <c r="F1" s="2865"/>
    </row>
    <row r="2" spans="1:8" ht="37.5" customHeight="1" thickTop="1" thickBot="1" x14ac:dyDescent="0.25">
      <c r="A2" s="2131" t="s">
        <v>1152</v>
      </c>
      <c r="B2" s="2132" t="s">
        <v>1157</v>
      </c>
      <c r="C2" s="2133" t="s">
        <v>1087</v>
      </c>
      <c r="D2" s="2133" t="s">
        <v>1088</v>
      </c>
      <c r="E2" s="2133" t="s">
        <v>1158</v>
      </c>
      <c r="F2" s="2134" t="s">
        <v>170</v>
      </c>
    </row>
    <row r="3" spans="1:8" ht="20.25" thickTop="1" x14ac:dyDescent="0.2">
      <c r="A3" s="2137">
        <v>1</v>
      </c>
      <c r="B3" s="2138" t="s">
        <v>1155</v>
      </c>
      <c r="C3" s="968">
        <v>8356206</v>
      </c>
      <c r="D3" s="968">
        <v>4090165</v>
      </c>
      <c r="E3" s="968">
        <v>1960</v>
      </c>
      <c r="F3" s="969">
        <f t="shared" ref="F3:F14" si="0">SUM(C3:E3)</f>
        <v>12448331</v>
      </c>
    </row>
    <row r="4" spans="1:8" ht="19.5" x14ac:dyDescent="0.2">
      <c r="A4" s="2139">
        <v>2</v>
      </c>
      <c r="B4" s="2140" t="s">
        <v>1128</v>
      </c>
      <c r="C4" s="970">
        <v>8170</v>
      </c>
      <c r="D4" s="970">
        <v>8901276</v>
      </c>
      <c r="E4" s="970">
        <v>0</v>
      </c>
      <c r="F4" s="971">
        <f t="shared" si="0"/>
        <v>8909446</v>
      </c>
    </row>
    <row r="5" spans="1:8" ht="19.5" x14ac:dyDescent="0.2">
      <c r="A5" s="2139">
        <v>3</v>
      </c>
      <c r="B5" s="2140" t="s">
        <v>1159</v>
      </c>
      <c r="C5" s="970">
        <v>2182490</v>
      </c>
      <c r="D5" s="970">
        <v>0</v>
      </c>
      <c r="E5" s="970">
        <v>17800</v>
      </c>
      <c r="F5" s="971">
        <f t="shared" si="0"/>
        <v>2200290</v>
      </c>
    </row>
    <row r="6" spans="1:8" ht="19.5" x14ac:dyDescent="0.2">
      <c r="A6" s="2139">
        <v>4</v>
      </c>
      <c r="B6" s="2140" t="s">
        <v>1130</v>
      </c>
      <c r="C6" s="970">
        <v>1971230</v>
      </c>
      <c r="D6" s="970">
        <v>0</v>
      </c>
      <c r="E6" s="970">
        <v>0</v>
      </c>
      <c r="F6" s="971">
        <f t="shared" si="0"/>
        <v>1971230</v>
      </c>
    </row>
    <row r="7" spans="1:8" ht="19.5" x14ac:dyDescent="0.2">
      <c r="A7" s="2139">
        <v>5</v>
      </c>
      <c r="B7" s="2140" t="s">
        <v>1160</v>
      </c>
      <c r="C7" s="970">
        <v>1890632</v>
      </c>
      <c r="D7" s="970">
        <v>0</v>
      </c>
      <c r="E7" s="970">
        <v>0</v>
      </c>
      <c r="F7" s="971">
        <f t="shared" si="0"/>
        <v>1890632</v>
      </c>
    </row>
    <row r="8" spans="1:8" ht="19.5" x14ac:dyDescent="0.2">
      <c r="A8" s="2139">
        <v>6</v>
      </c>
      <c r="B8" s="2140" t="s">
        <v>1161</v>
      </c>
      <c r="C8" s="970">
        <v>1887302</v>
      </c>
      <c r="D8" s="970">
        <v>0</v>
      </c>
      <c r="E8" s="970">
        <v>0</v>
      </c>
      <c r="F8" s="971">
        <f t="shared" si="0"/>
        <v>1887302</v>
      </c>
    </row>
    <row r="9" spans="1:8" ht="19.5" x14ac:dyDescent="0.2">
      <c r="A9" s="2139">
        <v>7</v>
      </c>
      <c r="B9" s="2140" t="s">
        <v>1162</v>
      </c>
      <c r="C9" s="970">
        <v>1941440</v>
      </c>
      <c r="D9" s="970">
        <v>0</v>
      </c>
      <c r="E9" s="970">
        <v>0</v>
      </c>
      <c r="F9" s="971">
        <f t="shared" si="0"/>
        <v>1941440</v>
      </c>
    </row>
    <row r="10" spans="1:8" ht="19.5" x14ac:dyDescent="0.2">
      <c r="A10" s="2139">
        <v>8</v>
      </c>
      <c r="B10" s="2140" t="s">
        <v>1134</v>
      </c>
      <c r="C10" s="970">
        <v>1162664</v>
      </c>
      <c r="D10" s="970">
        <v>0</v>
      </c>
      <c r="E10" s="970">
        <v>0</v>
      </c>
      <c r="F10" s="971">
        <f t="shared" si="0"/>
        <v>1162664</v>
      </c>
    </row>
    <row r="11" spans="1:8" ht="19.5" x14ac:dyDescent="0.2">
      <c r="A11" s="2139">
        <v>9</v>
      </c>
      <c r="B11" s="2140" t="s">
        <v>1135</v>
      </c>
      <c r="C11" s="970">
        <v>927844</v>
      </c>
      <c r="D11" s="970">
        <v>0</v>
      </c>
      <c r="E11" s="970">
        <v>0</v>
      </c>
      <c r="F11" s="971">
        <f t="shared" si="0"/>
        <v>927844</v>
      </c>
    </row>
    <row r="12" spans="1:8" ht="19.5" x14ac:dyDescent="0.2">
      <c r="A12" s="2139">
        <v>10</v>
      </c>
      <c r="B12" s="2140" t="s">
        <v>1163</v>
      </c>
      <c r="C12" s="970">
        <v>0</v>
      </c>
      <c r="D12" s="970">
        <v>0</v>
      </c>
      <c r="E12" s="970">
        <v>0</v>
      </c>
      <c r="F12" s="971">
        <f t="shared" si="0"/>
        <v>0</v>
      </c>
    </row>
    <row r="13" spans="1:8" ht="20.25" thickBot="1" x14ac:dyDescent="0.25">
      <c r="A13" s="2141">
        <v>11</v>
      </c>
      <c r="B13" s="2142" t="s">
        <v>1164</v>
      </c>
      <c r="C13" s="972">
        <v>590978</v>
      </c>
      <c r="D13" s="972">
        <v>0</v>
      </c>
      <c r="E13" s="972">
        <v>0</v>
      </c>
      <c r="F13" s="973">
        <f t="shared" si="0"/>
        <v>590978</v>
      </c>
    </row>
    <row r="14" spans="1:8" ht="21" thickTop="1" thickBot="1" x14ac:dyDescent="0.25">
      <c r="A14" s="3589" t="s">
        <v>170</v>
      </c>
      <c r="B14" s="3590"/>
      <c r="C14" s="2135">
        <f>SUM(C3:C13)</f>
        <v>20918956</v>
      </c>
      <c r="D14" s="2135">
        <f>SUM(D3:D13)</f>
        <v>12991441</v>
      </c>
      <c r="E14" s="2135">
        <f>SUM(E3:E13)</f>
        <v>19760</v>
      </c>
      <c r="F14" s="2136">
        <f t="shared" si="0"/>
        <v>33930157</v>
      </c>
      <c r="G14" s="974"/>
      <c r="H14" s="974"/>
    </row>
    <row r="15" spans="1:8" ht="24.75" customHeight="1" thickTop="1" x14ac:dyDescent="0.2">
      <c r="A15" s="3591" t="s">
        <v>1137</v>
      </c>
      <c r="B15" s="3591"/>
      <c r="C15" s="3591"/>
      <c r="D15" s="3591"/>
      <c r="E15" s="3591"/>
      <c r="F15" s="3591"/>
    </row>
    <row r="16" spans="1:8" ht="45" customHeight="1" x14ac:dyDescent="0.45">
      <c r="B16" s="975"/>
      <c r="C16" s="975"/>
      <c r="D16" s="975"/>
      <c r="E16" s="975"/>
      <c r="F16" s="974"/>
    </row>
    <row r="17" spans="1:9" ht="24.75" thickBot="1" x14ac:dyDescent="0.25">
      <c r="A17" s="2865" t="s">
        <v>1165</v>
      </c>
      <c r="B17" s="2865"/>
      <c r="C17" s="2865"/>
      <c r="D17" s="2865"/>
      <c r="E17" s="2865"/>
      <c r="F17" s="2865"/>
    </row>
    <row r="18" spans="1:9" ht="22.5" thickTop="1" thickBot="1" x14ac:dyDescent="0.25">
      <c r="A18" s="2131" t="s">
        <v>1152</v>
      </c>
      <c r="B18" s="2132" t="s">
        <v>1157</v>
      </c>
      <c r="C18" s="2133" t="s">
        <v>1087</v>
      </c>
      <c r="D18" s="2133" t="s">
        <v>1088</v>
      </c>
      <c r="E18" s="2133" t="s">
        <v>1158</v>
      </c>
      <c r="F18" s="2134" t="s">
        <v>170</v>
      </c>
    </row>
    <row r="19" spans="1:9" ht="20.25" thickTop="1" x14ac:dyDescent="0.2">
      <c r="A19" s="2137">
        <v>1</v>
      </c>
      <c r="B19" s="2138" t="s">
        <v>1155</v>
      </c>
      <c r="C19" s="968">
        <v>6153499.0219999999</v>
      </c>
      <c r="D19" s="968">
        <v>464496.576</v>
      </c>
      <c r="E19" s="968">
        <v>1875.72</v>
      </c>
      <c r="F19" s="969">
        <f t="shared" ref="F19:F29" si="1">SUM(C19:E19)</f>
        <v>6619871.318</v>
      </c>
      <c r="G19" s="974"/>
      <c r="H19" s="974"/>
      <c r="I19" s="974"/>
    </row>
    <row r="20" spans="1:9" ht="19.5" x14ac:dyDescent="0.2">
      <c r="A20" s="2139">
        <v>2</v>
      </c>
      <c r="B20" s="2140" t="s">
        <v>1128</v>
      </c>
      <c r="C20" s="970">
        <v>2352.672</v>
      </c>
      <c r="D20" s="970">
        <v>861567.16799999995</v>
      </c>
      <c r="E20" s="970">
        <v>0</v>
      </c>
      <c r="F20" s="971">
        <f t="shared" si="1"/>
        <v>863919.84</v>
      </c>
      <c r="G20" s="974"/>
      <c r="H20" s="974"/>
      <c r="I20" s="974"/>
    </row>
    <row r="21" spans="1:9" ht="19.5" x14ac:dyDescent="0.2">
      <c r="A21" s="2139">
        <v>3</v>
      </c>
      <c r="B21" s="2140" t="s">
        <v>1159</v>
      </c>
      <c r="C21" s="970">
        <v>1517674.88</v>
      </c>
      <c r="D21" s="970">
        <v>0</v>
      </c>
      <c r="E21" s="970">
        <v>17034.599999999999</v>
      </c>
      <c r="F21" s="971">
        <f t="shared" si="1"/>
        <v>1534709.48</v>
      </c>
      <c r="G21" s="974"/>
      <c r="H21" s="974"/>
      <c r="I21" s="974"/>
    </row>
    <row r="22" spans="1:9" ht="19.5" x14ac:dyDescent="0.2">
      <c r="A22" s="2139">
        <v>4</v>
      </c>
      <c r="B22" s="2140" t="s">
        <v>1130</v>
      </c>
      <c r="C22" s="970">
        <v>1921422.0360000001</v>
      </c>
      <c r="D22" s="970">
        <v>0</v>
      </c>
      <c r="E22" s="970">
        <v>0</v>
      </c>
      <c r="F22" s="971">
        <f t="shared" si="1"/>
        <v>1921422.0360000001</v>
      </c>
      <c r="G22" s="974"/>
      <c r="H22" s="974"/>
      <c r="I22" s="974"/>
    </row>
    <row r="23" spans="1:9" ht="19.5" x14ac:dyDescent="0.2">
      <c r="A23" s="2139">
        <v>5</v>
      </c>
      <c r="B23" s="2140" t="s">
        <v>1160</v>
      </c>
      <c r="C23" s="970">
        <v>1470744.048</v>
      </c>
      <c r="D23" s="970">
        <v>0</v>
      </c>
      <c r="E23" s="970">
        <v>0</v>
      </c>
      <c r="F23" s="971">
        <f t="shared" si="1"/>
        <v>1470744.048</v>
      </c>
      <c r="G23" s="974"/>
      <c r="H23" s="974"/>
      <c r="I23" s="974"/>
    </row>
    <row r="24" spans="1:9" ht="19.5" x14ac:dyDescent="0.2">
      <c r="A24" s="2139">
        <v>6</v>
      </c>
      <c r="B24" s="2140" t="s">
        <v>1161</v>
      </c>
      <c r="C24" s="970">
        <v>1158786.716</v>
      </c>
      <c r="D24" s="970">
        <v>0</v>
      </c>
      <c r="E24" s="970">
        <v>0</v>
      </c>
      <c r="F24" s="971">
        <f t="shared" si="1"/>
        <v>1158786.716</v>
      </c>
      <c r="G24" s="974"/>
      <c r="H24" s="974"/>
      <c r="I24" s="974"/>
    </row>
    <row r="25" spans="1:9" ht="19.5" x14ac:dyDescent="0.2">
      <c r="A25" s="2139">
        <v>7</v>
      </c>
      <c r="B25" s="2140" t="s">
        <v>1162</v>
      </c>
      <c r="C25" s="970">
        <v>1306421.3400000001</v>
      </c>
      <c r="D25" s="970">
        <v>0</v>
      </c>
      <c r="E25" s="970">
        <v>0</v>
      </c>
      <c r="F25" s="971">
        <f t="shared" si="1"/>
        <v>1306421.3400000001</v>
      </c>
      <c r="G25" s="974"/>
      <c r="H25" s="974"/>
      <c r="I25" s="974"/>
    </row>
    <row r="26" spans="1:9" ht="19.5" x14ac:dyDescent="0.2">
      <c r="A26" s="2139">
        <v>8</v>
      </c>
      <c r="B26" s="2140" t="s">
        <v>1134</v>
      </c>
      <c r="C26" s="970">
        <v>746777.38</v>
      </c>
      <c r="D26" s="970">
        <v>0</v>
      </c>
      <c r="E26" s="970">
        <v>0</v>
      </c>
      <c r="F26" s="971">
        <f t="shared" si="1"/>
        <v>746777.38</v>
      </c>
      <c r="G26" s="974"/>
      <c r="H26" s="974"/>
      <c r="I26" s="974"/>
    </row>
    <row r="27" spans="1:9" ht="19.5" x14ac:dyDescent="0.2">
      <c r="A27" s="2139">
        <v>9</v>
      </c>
      <c r="B27" s="2140" t="s">
        <v>1135</v>
      </c>
      <c r="C27" s="970">
        <v>740241.96</v>
      </c>
      <c r="D27" s="970">
        <v>0</v>
      </c>
      <c r="E27" s="970">
        <v>0</v>
      </c>
      <c r="F27" s="971">
        <f t="shared" si="1"/>
        <v>740241.96</v>
      </c>
      <c r="G27" s="974"/>
      <c r="H27" s="974"/>
      <c r="I27" s="974"/>
    </row>
    <row r="28" spans="1:9" ht="19.5" x14ac:dyDescent="0.2">
      <c r="A28" s="2139">
        <v>10</v>
      </c>
      <c r="B28" s="2140" t="s">
        <v>1163</v>
      </c>
      <c r="C28" s="970">
        <v>0</v>
      </c>
      <c r="D28" s="970">
        <v>0</v>
      </c>
      <c r="E28" s="970">
        <v>0</v>
      </c>
      <c r="F28" s="971">
        <f t="shared" si="1"/>
        <v>0</v>
      </c>
      <c r="G28" s="974"/>
      <c r="H28" s="974"/>
      <c r="I28" s="974"/>
    </row>
    <row r="29" spans="1:9" ht="20.25" thickBot="1" x14ac:dyDescent="0.25">
      <c r="A29" s="2141">
        <v>11</v>
      </c>
      <c r="B29" s="2142" t="s">
        <v>1164</v>
      </c>
      <c r="C29" s="972">
        <v>529793.48</v>
      </c>
      <c r="D29" s="972">
        <v>0</v>
      </c>
      <c r="E29" s="972">
        <v>0</v>
      </c>
      <c r="F29" s="973">
        <f t="shared" si="1"/>
        <v>529793.48</v>
      </c>
      <c r="G29" s="974"/>
      <c r="H29" s="974"/>
      <c r="I29" s="974"/>
    </row>
    <row r="30" spans="1:9" ht="21" thickTop="1" thickBot="1" x14ac:dyDescent="0.25">
      <c r="A30" s="3589" t="s">
        <v>170</v>
      </c>
      <c r="B30" s="3590"/>
      <c r="C30" s="2135">
        <f>SUM(C19:C29)</f>
        <v>15547713.534000002</v>
      </c>
      <c r="D30" s="2135">
        <f t="shared" ref="D30" si="2">SUM(D19:D29)</f>
        <v>1326063.7439999999</v>
      </c>
      <c r="E30" s="2135">
        <f>SUM(E19:E29)</f>
        <v>18910.32</v>
      </c>
      <c r="F30" s="2136">
        <f>SUM(F19:F29)</f>
        <v>16892687.598000001</v>
      </c>
      <c r="G30" s="974"/>
      <c r="H30" s="974"/>
      <c r="I30" s="974"/>
    </row>
    <row r="31" spans="1:9" ht="25.5" customHeight="1" thickTop="1" x14ac:dyDescent="0.2">
      <c r="A31" s="3588" t="s">
        <v>1137</v>
      </c>
      <c r="B31" s="3588"/>
      <c r="C31" s="3588"/>
      <c r="D31" s="3588"/>
      <c r="E31" s="3588"/>
      <c r="F31" s="3588"/>
    </row>
  </sheetData>
  <mergeCells count="6">
    <mergeCell ref="A31:F31"/>
    <mergeCell ref="A1:F1"/>
    <mergeCell ref="A14:B14"/>
    <mergeCell ref="A15:F15"/>
    <mergeCell ref="A17:F17"/>
    <mergeCell ref="A30:B30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rgb="FF92D050"/>
    <pageSetUpPr fitToPage="1"/>
  </sheetPr>
  <dimension ref="A1:H18"/>
  <sheetViews>
    <sheetView rightToLeft="1" zoomScale="90" zoomScaleNormal="90" workbookViewId="0">
      <selection activeCell="N8" sqref="N8"/>
    </sheetView>
  </sheetViews>
  <sheetFormatPr defaultColWidth="9.5" defaultRowHeight="24" x14ac:dyDescent="0.6"/>
  <cols>
    <col min="1" max="1" width="7.125" style="976" bestFit="1" customWidth="1"/>
    <col min="2" max="2" width="27.125" style="976" customWidth="1"/>
    <col min="3" max="3" width="9.75" style="976" bestFit="1" customWidth="1"/>
    <col min="4" max="4" width="14.125" style="976" bestFit="1" customWidth="1"/>
    <col min="5" max="5" width="10.375" style="976" customWidth="1"/>
    <col min="6" max="6" width="12.375" style="976" customWidth="1"/>
    <col min="7" max="16384" width="9.5" style="976"/>
  </cols>
  <sheetData>
    <row r="1" spans="1:8" ht="27.75" customHeight="1" thickBot="1" x14ac:dyDescent="0.65">
      <c r="A1" s="3592" t="s">
        <v>1166</v>
      </c>
      <c r="B1" s="3592"/>
      <c r="C1" s="3592"/>
      <c r="D1" s="3592"/>
      <c r="E1" s="3592"/>
      <c r="F1" s="3592"/>
    </row>
    <row r="2" spans="1:8" ht="41.25" customHeight="1" thickTop="1" thickBot="1" x14ac:dyDescent="0.65">
      <c r="A2" s="2151" t="s">
        <v>1152</v>
      </c>
      <c r="B2" s="2152" t="s">
        <v>1157</v>
      </c>
      <c r="C2" s="2146" t="s">
        <v>1167</v>
      </c>
      <c r="D2" s="2143" t="s">
        <v>1088</v>
      </c>
      <c r="E2" s="2143" t="s">
        <v>1158</v>
      </c>
      <c r="F2" s="2134" t="s">
        <v>170</v>
      </c>
    </row>
    <row r="3" spans="1:8" ht="24.75" customHeight="1" thickTop="1" x14ac:dyDescent="0.6">
      <c r="A3" s="2153">
        <v>1</v>
      </c>
      <c r="B3" s="2154" t="s">
        <v>1155</v>
      </c>
      <c r="C3" s="2147">
        <v>15596</v>
      </c>
      <c r="D3" s="977">
        <v>12825</v>
      </c>
      <c r="E3" s="977">
        <v>7</v>
      </c>
      <c r="F3" s="978">
        <f t="shared" ref="F3:F13" si="0">SUM(C3:E3)</f>
        <v>28428</v>
      </c>
      <c r="G3" s="979"/>
      <c r="H3" s="979"/>
    </row>
    <row r="4" spans="1:8" ht="24.75" customHeight="1" x14ac:dyDescent="0.6">
      <c r="A4" s="2155">
        <v>2</v>
      </c>
      <c r="B4" s="2156" t="s">
        <v>1128</v>
      </c>
      <c r="C4" s="2148">
        <v>24</v>
      </c>
      <c r="D4" s="980">
        <v>20736</v>
      </c>
      <c r="E4" s="980">
        <v>0</v>
      </c>
      <c r="F4" s="981">
        <f t="shared" si="0"/>
        <v>20760</v>
      </c>
      <c r="G4" s="979"/>
      <c r="H4" s="979"/>
    </row>
    <row r="5" spans="1:8" ht="24.75" customHeight="1" x14ac:dyDescent="0.6">
      <c r="A5" s="2155">
        <v>3</v>
      </c>
      <c r="B5" s="2156" t="s">
        <v>1159</v>
      </c>
      <c r="C5" s="2148">
        <v>3476</v>
      </c>
      <c r="D5" s="980">
        <v>0</v>
      </c>
      <c r="E5" s="980">
        <v>49</v>
      </c>
      <c r="F5" s="981">
        <f t="shared" si="0"/>
        <v>3525</v>
      </c>
      <c r="G5" s="979"/>
      <c r="H5" s="979"/>
    </row>
    <row r="6" spans="1:8" ht="24.75" customHeight="1" x14ac:dyDescent="0.6">
      <c r="A6" s="2155">
        <v>4</v>
      </c>
      <c r="B6" s="2156" t="s">
        <v>1130</v>
      </c>
      <c r="C6" s="2148">
        <v>2833</v>
      </c>
      <c r="D6" s="980">
        <v>0</v>
      </c>
      <c r="E6" s="980">
        <v>0</v>
      </c>
      <c r="F6" s="981">
        <f t="shared" si="0"/>
        <v>2833</v>
      </c>
      <c r="G6" s="979"/>
      <c r="H6" s="979"/>
    </row>
    <row r="7" spans="1:8" ht="24.75" customHeight="1" x14ac:dyDescent="0.6">
      <c r="A7" s="2155">
        <v>5</v>
      </c>
      <c r="B7" s="2156" t="s">
        <v>1160</v>
      </c>
      <c r="C7" s="2148">
        <v>2345</v>
      </c>
      <c r="D7" s="980">
        <v>0</v>
      </c>
      <c r="E7" s="980">
        <v>0</v>
      </c>
      <c r="F7" s="981">
        <f t="shared" si="0"/>
        <v>2345</v>
      </c>
      <c r="G7" s="979"/>
      <c r="H7" s="979"/>
    </row>
    <row r="8" spans="1:8" ht="24.75" customHeight="1" x14ac:dyDescent="0.6">
      <c r="A8" s="2155">
        <v>6</v>
      </c>
      <c r="B8" s="2156" t="s">
        <v>1161</v>
      </c>
      <c r="C8" s="2148">
        <v>3462</v>
      </c>
      <c r="D8" s="980">
        <v>0</v>
      </c>
      <c r="E8" s="980">
        <v>0</v>
      </c>
      <c r="F8" s="981">
        <f t="shared" si="0"/>
        <v>3462</v>
      </c>
      <c r="G8" s="979"/>
      <c r="H8" s="979"/>
    </row>
    <row r="9" spans="1:8" ht="24.75" customHeight="1" x14ac:dyDescent="0.6">
      <c r="A9" s="2155">
        <v>7</v>
      </c>
      <c r="B9" s="2156" t="s">
        <v>1162</v>
      </c>
      <c r="C9" s="2148">
        <v>2715</v>
      </c>
      <c r="D9" s="980">
        <v>0</v>
      </c>
      <c r="E9" s="980">
        <v>0</v>
      </c>
      <c r="F9" s="981">
        <f t="shared" si="0"/>
        <v>2715</v>
      </c>
      <c r="G9" s="979"/>
      <c r="H9" s="979"/>
    </row>
    <row r="10" spans="1:8" ht="24.75" customHeight="1" x14ac:dyDescent="0.6">
      <c r="A10" s="2155">
        <v>8</v>
      </c>
      <c r="B10" s="2156" t="s">
        <v>1134</v>
      </c>
      <c r="C10" s="2148">
        <v>1827</v>
      </c>
      <c r="D10" s="980">
        <v>0</v>
      </c>
      <c r="E10" s="980">
        <v>0</v>
      </c>
      <c r="F10" s="981">
        <f t="shared" si="0"/>
        <v>1827</v>
      </c>
      <c r="G10" s="979"/>
      <c r="H10" s="979"/>
    </row>
    <row r="11" spans="1:8" ht="24.75" customHeight="1" x14ac:dyDescent="0.6">
      <c r="A11" s="2155">
        <v>9</v>
      </c>
      <c r="B11" s="2156" t="s">
        <v>1135</v>
      </c>
      <c r="C11" s="2148">
        <v>1858</v>
      </c>
      <c r="D11" s="980">
        <v>0</v>
      </c>
      <c r="E11" s="980">
        <v>0</v>
      </c>
      <c r="F11" s="981">
        <f t="shared" si="0"/>
        <v>1858</v>
      </c>
      <c r="G11" s="979"/>
      <c r="H11" s="979"/>
    </row>
    <row r="12" spans="1:8" ht="24.75" customHeight="1" x14ac:dyDescent="0.6">
      <c r="A12" s="2155">
        <v>10</v>
      </c>
      <c r="B12" s="2156" t="s">
        <v>1163</v>
      </c>
      <c r="C12" s="2148">
        <v>0</v>
      </c>
      <c r="D12" s="980">
        <v>0</v>
      </c>
      <c r="E12" s="980">
        <v>0</v>
      </c>
      <c r="F12" s="981">
        <f t="shared" si="0"/>
        <v>0</v>
      </c>
      <c r="G12" s="979"/>
      <c r="H12" s="979"/>
    </row>
    <row r="13" spans="1:8" ht="24.75" customHeight="1" thickBot="1" x14ac:dyDescent="0.65">
      <c r="A13" s="2157">
        <v>11</v>
      </c>
      <c r="B13" s="2158" t="s">
        <v>1164</v>
      </c>
      <c r="C13" s="2149">
        <v>1341</v>
      </c>
      <c r="D13" s="982">
        <v>0</v>
      </c>
      <c r="E13" s="982">
        <v>0</v>
      </c>
      <c r="F13" s="983">
        <f t="shared" si="0"/>
        <v>1341</v>
      </c>
      <c r="G13" s="979"/>
      <c r="H13" s="979"/>
    </row>
    <row r="14" spans="1:8" ht="37.5" customHeight="1" thickTop="1" thickBot="1" x14ac:dyDescent="0.65">
      <c r="A14" s="3593" t="s">
        <v>170</v>
      </c>
      <c r="B14" s="3594"/>
      <c r="C14" s="2150">
        <f>SUM(C3:C13)</f>
        <v>35477</v>
      </c>
      <c r="D14" s="2144">
        <f>SUM(D3:D13)</f>
        <v>33561</v>
      </c>
      <c r="E14" s="2144">
        <f>SUM(E3:E13)</f>
        <v>56</v>
      </c>
      <c r="F14" s="2145">
        <f>SUM(F3:F13)</f>
        <v>69094</v>
      </c>
      <c r="G14" s="979"/>
    </row>
    <row r="15" spans="1:8" ht="39" customHeight="1" x14ac:dyDescent="0.6">
      <c r="A15" s="3554" t="s">
        <v>1137</v>
      </c>
      <c r="B15" s="3554"/>
      <c r="C15" s="3554"/>
      <c r="D15" s="3554"/>
      <c r="E15" s="3554"/>
    </row>
    <row r="18" spans="6:6" x14ac:dyDescent="0.6">
      <c r="F18" s="979"/>
    </row>
  </sheetData>
  <mergeCells count="3">
    <mergeCell ref="A1:F1"/>
    <mergeCell ref="A14:B14"/>
    <mergeCell ref="A15:E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V41"/>
  <sheetViews>
    <sheetView rightToLeft="1" topLeftCell="A13" workbookViewId="0">
      <selection activeCell="C20" sqref="C20"/>
    </sheetView>
  </sheetViews>
  <sheetFormatPr defaultColWidth="7" defaultRowHeight="15.75" x14ac:dyDescent="0.4"/>
  <cols>
    <col min="1" max="1" width="5.375" style="90" customWidth="1"/>
    <col min="2" max="2" width="8.125" style="90" bestFit="1" customWidth="1"/>
    <col min="3" max="3" width="9.375" style="90" customWidth="1"/>
    <col min="4" max="5" width="5.625" style="90" bestFit="1" customWidth="1"/>
    <col min="6" max="6" width="10" style="90" customWidth="1"/>
    <col min="7" max="7" width="4.875" style="90" bestFit="1" customWidth="1"/>
    <col min="8" max="8" width="12.125" style="90" customWidth="1"/>
    <col min="9" max="9" width="11.375" style="90" customWidth="1"/>
    <col min="10" max="10" width="5.625" style="90" bestFit="1" customWidth="1"/>
    <col min="11" max="11" width="6.75" style="90" bestFit="1" customWidth="1"/>
    <col min="12" max="12" width="14.25" style="90" customWidth="1"/>
    <col min="13" max="13" width="4.625" style="90" customWidth="1"/>
    <col min="14" max="14" width="7.375" style="90" customWidth="1"/>
    <col min="15" max="15" width="6.75" style="90" bestFit="1" customWidth="1"/>
    <col min="16" max="16" width="9.375" style="90" bestFit="1" customWidth="1"/>
    <col min="17" max="16384" width="7" style="90"/>
  </cols>
  <sheetData>
    <row r="1" spans="1:22" ht="36" customHeight="1" x14ac:dyDescent="0.4">
      <c r="A1" s="2774" t="s">
        <v>428</v>
      </c>
      <c r="B1" s="2774"/>
      <c r="C1" s="2774"/>
      <c r="D1" s="2774"/>
      <c r="E1" s="2774"/>
      <c r="F1" s="2774"/>
      <c r="G1" s="2774"/>
      <c r="H1" s="2774"/>
      <c r="I1" s="2774"/>
      <c r="J1" s="2774"/>
      <c r="K1" s="2774"/>
      <c r="L1" s="2774"/>
    </row>
    <row r="2" spans="1:22" ht="17.25" customHeight="1" thickBot="1" x14ac:dyDescent="0.45">
      <c r="A2" s="2775" t="s">
        <v>429</v>
      </c>
      <c r="B2" s="2775"/>
      <c r="C2" s="2775"/>
      <c r="D2" s="2775"/>
      <c r="E2" s="2775"/>
      <c r="F2" s="2775"/>
      <c r="G2" s="2775"/>
      <c r="H2" s="2775"/>
      <c r="I2" s="2775"/>
      <c r="J2" s="2775"/>
      <c r="K2" s="2775"/>
      <c r="L2" s="2775"/>
    </row>
    <row r="3" spans="1:22" ht="51" customHeight="1" thickBot="1" x14ac:dyDescent="0.45">
      <c r="A3" s="232" t="s">
        <v>118</v>
      </c>
      <c r="B3" s="233" t="s">
        <v>420</v>
      </c>
      <c r="C3" s="234" t="s">
        <v>253</v>
      </c>
      <c r="D3" s="234" t="s">
        <v>241</v>
      </c>
      <c r="E3" s="234" t="s">
        <v>414</v>
      </c>
      <c r="F3" s="234" t="s">
        <v>227</v>
      </c>
      <c r="G3" s="234" t="s">
        <v>430</v>
      </c>
      <c r="H3" s="234" t="s">
        <v>367</v>
      </c>
      <c r="I3" s="234" t="s">
        <v>416</v>
      </c>
      <c r="J3" s="234" t="s">
        <v>431</v>
      </c>
      <c r="K3" s="235" t="s">
        <v>432</v>
      </c>
      <c r="L3" s="232" t="s">
        <v>170</v>
      </c>
    </row>
    <row r="4" spans="1:22" ht="21.75" customHeight="1" x14ac:dyDescent="0.4">
      <c r="A4" s="236">
        <v>1392</v>
      </c>
      <c r="B4" s="237">
        <v>0</v>
      </c>
      <c r="C4" s="238">
        <v>525.34699999999998</v>
      </c>
      <c r="D4" s="238">
        <v>415.85</v>
      </c>
      <c r="E4" s="238">
        <v>855.87</v>
      </c>
      <c r="F4" s="238">
        <v>0</v>
      </c>
      <c r="G4" s="238">
        <v>0</v>
      </c>
      <c r="H4" s="238">
        <v>0</v>
      </c>
      <c r="I4" s="238">
        <v>100.809</v>
      </c>
      <c r="J4" s="238">
        <v>1.619</v>
      </c>
      <c r="K4" s="239">
        <v>0.97199999999999998</v>
      </c>
      <c r="L4" s="240">
        <f t="shared" ref="L4:L12" si="0">SUM(B4:K4)</f>
        <v>1900.4669999999999</v>
      </c>
      <c r="N4" s="95"/>
    </row>
    <row r="5" spans="1:22" ht="21.75" customHeight="1" x14ac:dyDescent="0.4">
      <c r="A5" s="236">
        <v>1393</v>
      </c>
      <c r="B5" s="237">
        <v>0</v>
      </c>
      <c r="C5" s="238">
        <v>899</v>
      </c>
      <c r="D5" s="238">
        <v>1242</v>
      </c>
      <c r="E5" s="238">
        <v>1495</v>
      </c>
      <c r="F5" s="238">
        <v>0</v>
      </c>
      <c r="G5" s="238">
        <v>0</v>
      </c>
      <c r="H5" s="238">
        <v>0</v>
      </c>
      <c r="I5" s="238">
        <v>45</v>
      </c>
      <c r="J5" s="238">
        <v>0</v>
      </c>
      <c r="K5" s="239">
        <v>12</v>
      </c>
      <c r="L5" s="240">
        <f t="shared" si="0"/>
        <v>3693</v>
      </c>
    </row>
    <row r="6" spans="1:22" ht="21.75" customHeight="1" x14ac:dyDescent="0.4">
      <c r="A6" s="236">
        <v>1394</v>
      </c>
      <c r="B6" s="237">
        <v>0</v>
      </c>
      <c r="C6" s="238">
        <v>428.38200000000001</v>
      </c>
      <c r="D6" s="238">
        <v>1176.5930000000001</v>
      </c>
      <c r="E6" s="238">
        <v>1499.059</v>
      </c>
      <c r="F6" s="238">
        <v>51.874000000000002</v>
      </c>
      <c r="G6" s="238">
        <v>10.355</v>
      </c>
      <c r="H6" s="238">
        <v>0</v>
      </c>
      <c r="I6" s="238">
        <v>55.534999999999997</v>
      </c>
      <c r="J6" s="238">
        <v>0</v>
      </c>
      <c r="K6" s="241">
        <v>10.727</v>
      </c>
      <c r="L6" s="240">
        <f t="shared" si="0"/>
        <v>3232.5249999999996</v>
      </c>
    </row>
    <row r="7" spans="1:22" ht="21.75" customHeight="1" x14ac:dyDescent="0.4">
      <c r="A7" s="242">
        <v>1395</v>
      </c>
      <c r="B7" s="243">
        <v>7.5</v>
      </c>
      <c r="C7" s="244">
        <v>321</v>
      </c>
      <c r="D7" s="244">
        <v>693</v>
      </c>
      <c r="E7" s="244">
        <v>1318.5</v>
      </c>
      <c r="F7" s="244">
        <v>22</v>
      </c>
      <c r="G7" s="244">
        <v>1</v>
      </c>
      <c r="H7" s="244">
        <v>0</v>
      </c>
      <c r="I7" s="244">
        <v>97</v>
      </c>
      <c r="J7" s="244">
        <v>0</v>
      </c>
      <c r="K7" s="245">
        <v>11</v>
      </c>
      <c r="L7" s="240">
        <f t="shared" si="0"/>
        <v>2471</v>
      </c>
    </row>
    <row r="8" spans="1:22" ht="21.75" customHeight="1" x14ac:dyDescent="0.4">
      <c r="A8" s="246">
        <v>1396</v>
      </c>
      <c r="B8" s="247">
        <v>9.1750000000000007</v>
      </c>
      <c r="C8" s="248">
        <v>280.48399999999998</v>
      </c>
      <c r="D8" s="248">
        <v>882.14499999999998</v>
      </c>
      <c r="E8" s="248">
        <v>1645.8789999999999</v>
      </c>
      <c r="F8" s="248">
        <v>58.311999999999998</v>
      </c>
      <c r="G8" s="248">
        <v>0</v>
      </c>
      <c r="H8" s="248">
        <v>0</v>
      </c>
      <c r="I8" s="248">
        <v>178.96700000000001</v>
      </c>
      <c r="J8" s="248">
        <v>0</v>
      </c>
      <c r="K8" s="249">
        <v>16.506</v>
      </c>
      <c r="L8" s="240">
        <f t="shared" si="0"/>
        <v>3071.4679999999998</v>
      </c>
    </row>
    <row r="9" spans="1:22" ht="21.75" customHeight="1" x14ac:dyDescent="0.4">
      <c r="A9" s="250">
        <v>1397</v>
      </c>
      <c r="B9" s="237">
        <v>6</v>
      </c>
      <c r="C9" s="238">
        <v>181</v>
      </c>
      <c r="D9" s="238">
        <v>843</v>
      </c>
      <c r="E9" s="238">
        <v>1384</v>
      </c>
      <c r="F9" s="238">
        <v>105</v>
      </c>
      <c r="G9" s="238">
        <v>0</v>
      </c>
      <c r="H9" s="238">
        <v>89</v>
      </c>
      <c r="I9" s="238">
        <v>75</v>
      </c>
      <c r="J9" s="238">
        <v>0</v>
      </c>
      <c r="K9" s="251">
        <v>28</v>
      </c>
      <c r="L9" s="252">
        <f t="shared" si="0"/>
        <v>2711</v>
      </c>
      <c r="N9" s="95"/>
      <c r="O9" s="95"/>
      <c r="P9" s="95"/>
      <c r="Q9" s="95"/>
      <c r="R9" s="95"/>
      <c r="S9" s="95"/>
      <c r="T9" s="95"/>
      <c r="U9" s="95"/>
      <c r="V9" s="95"/>
    </row>
    <row r="10" spans="1:22" ht="21.75" customHeight="1" x14ac:dyDescent="0.4">
      <c r="A10" s="250">
        <v>1398</v>
      </c>
      <c r="B10" s="237">
        <v>7.2679999999999998</v>
      </c>
      <c r="C10" s="238">
        <v>216.19399999999999</v>
      </c>
      <c r="D10" s="238">
        <v>533.89</v>
      </c>
      <c r="E10" s="238">
        <v>1390.6790000000001</v>
      </c>
      <c r="F10" s="238">
        <v>36.103000000000002</v>
      </c>
      <c r="G10" s="238">
        <v>0</v>
      </c>
      <c r="H10" s="238">
        <v>176.245</v>
      </c>
      <c r="I10" s="238">
        <v>76.67</v>
      </c>
      <c r="J10" s="238">
        <v>0</v>
      </c>
      <c r="K10" s="251">
        <v>7.5350000000000001</v>
      </c>
      <c r="L10" s="253">
        <f t="shared" si="0"/>
        <v>2444.5839999999998</v>
      </c>
      <c r="N10" s="95"/>
      <c r="O10" s="95"/>
      <c r="P10" s="95"/>
      <c r="Q10" s="95"/>
      <c r="R10" s="95"/>
      <c r="S10" s="95"/>
      <c r="T10" s="95"/>
      <c r="U10" s="95"/>
      <c r="V10" s="95"/>
    </row>
    <row r="11" spans="1:22" ht="21.75" customHeight="1" x14ac:dyDescent="0.4">
      <c r="A11" s="250">
        <v>1399</v>
      </c>
      <c r="B11" s="237">
        <v>0</v>
      </c>
      <c r="C11" s="238">
        <v>137.55699999999999</v>
      </c>
      <c r="D11" s="238">
        <v>1031.001</v>
      </c>
      <c r="E11" s="238">
        <v>2071.4459999999999</v>
      </c>
      <c r="F11" s="238">
        <v>7.14</v>
      </c>
      <c r="G11" s="238">
        <v>0</v>
      </c>
      <c r="H11" s="238">
        <v>145.48599999999999</v>
      </c>
      <c r="I11" s="238">
        <v>200.17500000000001</v>
      </c>
      <c r="J11" s="238">
        <v>0</v>
      </c>
      <c r="K11" s="251">
        <v>25.3</v>
      </c>
      <c r="L11" s="253">
        <f t="shared" si="0"/>
        <v>3618.105</v>
      </c>
      <c r="P11" s="95"/>
      <c r="U11" s="95"/>
    </row>
    <row r="12" spans="1:22" ht="21.75" customHeight="1" x14ac:dyDescent="0.4">
      <c r="A12" s="250">
        <v>1400</v>
      </c>
      <c r="B12" s="237">
        <v>16.081</v>
      </c>
      <c r="C12" s="238">
        <v>143.58799999999999</v>
      </c>
      <c r="D12" s="238">
        <v>976.05</v>
      </c>
      <c r="E12" s="238">
        <v>2094.0050000000001</v>
      </c>
      <c r="F12" s="238">
        <v>18.164000000000001</v>
      </c>
      <c r="G12" s="238">
        <v>0</v>
      </c>
      <c r="H12" s="238">
        <v>151.83099999999999</v>
      </c>
      <c r="I12" s="238">
        <v>191.38499999999999</v>
      </c>
      <c r="J12" s="238">
        <v>5.5E-2</v>
      </c>
      <c r="K12" s="241">
        <v>15.404</v>
      </c>
      <c r="L12" s="254">
        <f t="shared" si="0"/>
        <v>3606.5630000000001</v>
      </c>
      <c r="M12" s="255"/>
      <c r="N12" s="95"/>
      <c r="O12" s="256" t="s">
        <v>433</v>
      </c>
      <c r="P12" s="257"/>
      <c r="U12" s="95"/>
    </row>
    <row r="13" spans="1:22" ht="21.75" customHeight="1" thickBot="1" x14ac:dyDescent="0.45">
      <c r="A13" s="258">
        <v>1401</v>
      </c>
      <c r="B13" s="259">
        <v>13.638999999999999</v>
      </c>
      <c r="C13" s="260">
        <v>99.95</v>
      </c>
      <c r="D13" s="260">
        <v>0</v>
      </c>
      <c r="E13" s="260">
        <v>0</v>
      </c>
      <c r="F13" s="260">
        <v>14.618</v>
      </c>
      <c r="G13" s="260">
        <v>0</v>
      </c>
      <c r="H13" s="260">
        <v>151.65899999999999</v>
      </c>
      <c r="I13" s="260">
        <v>160.9</v>
      </c>
      <c r="J13" s="260">
        <v>0</v>
      </c>
      <c r="K13" s="261">
        <v>0</v>
      </c>
      <c r="L13" s="262">
        <f>SUM(B13:K13)</f>
        <v>440.76599999999996</v>
      </c>
      <c r="N13" s="95"/>
      <c r="O13" s="263">
        <v>8</v>
      </c>
      <c r="P13" s="264"/>
      <c r="U13" s="95"/>
    </row>
    <row r="14" spans="1:22" ht="21.75" customHeight="1" thickBot="1" x14ac:dyDescent="0.45">
      <c r="A14" s="258">
        <v>1402</v>
      </c>
      <c r="B14" s="259">
        <v>0.874</v>
      </c>
      <c r="C14" s="260">
        <v>87.74</v>
      </c>
      <c r="D14" s="260">
        <v>5.5E-2</v>
      </c>
      <c r="E14" s="260">
        <v>0</v>
      </c>
      <c r="F14" s="260">
        <v>21.37</v>
      </c>
      <c r="G14" s="260">
        <v>0</v>
      </c>
      <c r="H14" s="260">
        <v>231.92500000000001</v>
      </c>
      <c r="I14" s="260">
        <v>157.30699999999999</v>
      </c>
      <c r="J14" s="260">
        <v>0</v>
      </c>
      <c r="K14" s="261">
        <v>1.4E-2</v>
      </c>
      <c r="L14" s="262">
        <f>SUM(B14:K14)</f>
        <v>499.28499999999997</v>
      </c>
      <c r="N14" s="95"/>
      <c r="O14" s="263">
        <v>2</v>
      </c>
      <c r="P14" s="264"/>
      <c r="U14" s="95"/>
    </row>
    <row r="15" spans="1:22" ht="18.75" customHeight="1" thickBot="1" x14ac:dyDescent="0.45">
      <c r="A15" s="258">
        <v>1403</v>
      </c>
      <c r="B15" s="259">
        <v>1.633</v>
      </c>
      <c r="C15" s="260">
        <v>67.47</v>
      </c>
      <c r="D15" s="260">
        <v>0</v>
      </c>
      <c r="E15" s="260">
        <v>0</v>
      </c>
      <c r="F15" s="260">
        <f>11.772+0.008</f>
        <v>11.78</v>
      </c>
      <c r="G15" s="260">
        <v>0</v>
      </c>
      <c r="H15" s="260">
        <v>280.39</v>
      </c>
      <c r="I15" s="260">
        <v>180.72200000000001</v>
      </c>
      <c r="J15" s="260">
        <v>0</v>
      </c>
      <c r="K15" s="261">
        <v>0</v>
      </c>
      <c r="L15" s="262">
        <f>SUM(B15:K15)</f>
        <v>541.995</v>
      </c>
      <c r="O15" s="263">
        <v>14489</v>
      </c>
      <c r="P15" s="257"/>
      <c r="U15" s="95"/>
    </row>
    <row r="16" spans="1:22" ht="18.75" customHeight="1" x14ac:dyDescent="0.4">
      <c r="A16" s="88"/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6">
        <f>+L15*1000-'31'!H46</f>
        <v>0</v>
      </c>
      <c r="O16" s="267"/>
      <c r="U16" s="95"/>
    </row>
    <row r="17" spans="1:21" ht="37.5" customHeight="1" x14ac:dyDescent="0.4">
      <c r="A17" s="2774" t="s">
        <v>434</v>
      </c>
      <c r="B17" s="2774"/>
      <c r="C17" s="2774"/>
      <c r="D17" s="2774"/>
      <c r="E17" s="2774"/>
      <c r="F17" s="2774"/>
      <c r="G17" s="2774"/>
      <c r="H17" s="2774"/>
      <c r="I17" s="2774"/>
      <c r="J17" s="2774"/>
      <c r="K17" s="2774"/>
      <c r="L17" s="2774"/>
      <c r="O17" s="95"/>
      <c r="U17" s="95"/>
    </row>
    <row r="18" spans="1:21" ht="17.25" customHeight="1" thickBot="1" x14ac:dyDescent="0.45">
      <c r="A18" s="2776" t="s">
        <v>429</v>
      </c>
      <c r="B18" s="2776"/>
      <c r="C18" s="2776"/>
      <c r="D18" s="2776"/>
      <c r="E18" s="2776"/>
      <c r="F18" s="2776"/>
      <c r="G18" s="2776"/>
      <c r="H18" s="2776"/>
      <c r="I18" s="2776"/>
      <c r="J18" s="2776"/>
      <c r="K18" s="2776"/>
      <c r="L18" s="2776"/>
      <c r="M18" s="2776"/>
    </row>
    <row r="19" spans="1:21" ht="51" customHeight="1" thickBot="1" x14ac:dyDescent="0.45">
      <c r="A19" s="232" t="s">
        <v>118</v>
      </c>
      <c r="B19" s="233" t="s">
        <v>420</v>
      </c>
      <c r="C19" s="234" t="s">
        <v>253</v>
      </c>
      <c r="D19" s="234" t="s">
        <v>241</v>
      </c>
      <c r="E19" s="234" t="s">
        <v>414</v>
      </c>
      <c r="F19" s="234" t="s">
        <v>435</v>
      </c>
      <c r="G19" s="234" t="s">
        <v>246</v>
      </c>
      <c r="H19" s="234" t="s">
        <v>367</v>
      </c>
      <c r="I19" s="234" t="s">
        <v>416</v>
      </c>
      <c r="J19" s="234" t="s">
        <v>418</v>
      </c>
      <c r="K19" s="234" t="s">
        <v>419</v>
      </c>
      <c r="L19" s="234" t="s">
        <v>431</v>
      </c>
      <c r="M19" s="235" t="s">
        <v>432</v>
      </c>
      <c r="N19" s="235" t="s">
        <v>421</v>
      </c>
      <c r="O19" s="235" t="s">
        <v>422</v>
      </c>
      <c r="P19" s="232" t="s">
        <v>170</v>
      </c>
    </row>
    <row r="20" spans="1:21" ht="21.75" customHeight="1" x14ac:dyDescent="0.4">
      <c r="A20" s="236">
        <v>1392</v>
      </c>
      <c r="B20" s="237">
        <v>0.184</v>
      </c>
      <c r="C20" s="238">
        <v>782.50699999999995</v>
      </c>
      <c r="D20" s="238">
        <v>4915.5870000000004</v>
      </c>
      <c r="E20" s="238">
        <v>356.78199999999998</v>
      </c>
      <c r="F20" s="238">
        <v>0</v>
      </c>
      <c r="G20" s="238">
        <v>0</v>
      </c>
      <c r="H20" s="238">
        <v>0</v>
      </c>
      <c r="I20" s="238">
        <v>108.973</v>
      </c>
      <c r="J20" s="238">
        <v>0</v>
      </c>
      <c r="K20" s="238">
        <v>0</v>
      </c>
      <c r="L20" s="238">
        <v>167.36799999999999</v>
      </c>
      <c r="M20" s="241">
        <v>125.886</v>
      </c>
      <c r="N20" s="241"/>
      <c r="O20" s="251">
        <v>0</v>
      </c>
      <c r="P20" s="240">
        <f t="shared" ref="P20:P31" si="1">SUM(B20:O20)</f>
        <v>6457.2870000000012</v>
      </c>
    </row>
    <row r="21" spans="1:21" ht="21.75" customHeight="1" x14ac:dyDescent="0.4">
      <c r="A21" s="236">
        <v>1393</v>
      </c>
      <c r="B21" s="237">
        <v>1</v>
      </c>
      <c r="C21" s="238">
        <v>984</v>
      </c>
      <c r="D21" s="238">
        <v>4508</v>
      </c>
      <c r="E21" s="238">
        <v>813</v>
      </c>
      <c r="F21" s="238">
        <v>0</v>
      </c>
      <c r="G21" s="238">
        <v>0</v>
      </c>
      <c r="H21" s="238">
        <v>0</v>
      </c>
      <c r="I21" s="238">
        <v>94</v>
      </c>
      <c r="J21" s="238">
        <v>105</v>
      </c>
      <c r="K21" s="238">
        <v>0</v>
      </c>
      <c r="L21" s="238">
        <v>79</v>
      </c>
      <c r="M21" s="241">
        <v>98</v>
      </c>
      <c r="N21" s="241"/>
      <c r="O21" s="241">
        <v>0</v>
      </c>
      <c r="P21" s="240">
        <f t="shared" si="1"/>
        <v>6682</v>
      </c>
    </row>
    <row r="22" spans="1:21" ht="21.75" customHeight="1" x14ac:dyDescent="0.4">
      <c r="A22" s="242">
        <v>1394</v>
      </c>
      <c r="B22" s="243">
        <v>1.1479999999999999</v>
      </c>
      <c r="C22" s="244">
        <v>571.79600000000005</v>
      </c>
      <c r="D22" s="244">
        <v>4489.6490000000003</v>
      </c>
      <c r="E22" s="244">
        <v>1390.405</v>
      </c>
      <c r="F22" s="244">
        <v>2.2959999999999998</v>
      </c>
      <c r="G22" s="244">
        <v>0</v>
      </c>
      <c r="H22" s="244">
        <v>0</v>
      </c>
      <c r="I22" s="244">
        <v>92.882999999999996</v>
      </c>
      <c r="J22" s="244">
        <v>792.27499999999998</v>
      </c>
      <c r="K22" s="244">
        <v>0</v>
      </c>
      <c r="L22" s="244">
        <v>2.97</v>
      </c>
      <c r="M22" s="245">
        <v>1.389</v>
      </c>
      <c r="N22" s="245"/>
      <c r="O22" s="245">
        <v>0</v>
      </c>
      <c r="P22" s="240">
        <f t="shared" si="1"/>
        <v>7344.8110000000006</v>
      </c>
    </row>
    <row r="23" spans="1:21" ht="21.75" customHeight="1" x14ac:dyDescent="0.4">
      <c r="A23" s="236">
        <v>1395</v>
      </c>
      <c r="B23" s="237">
        <v>17</v>
      </c>
      <c r="C23" s="238">
        <v>539</v>
      </c>
      <c r="D23" s="238">
        <v>7926</v>
      </c>
      <c r="E23" s="238">
        <v>1379</v>
      </c>
      <c r="F23" s="238">
        <v>21</v>
      </c>
      <c r="G23" s="238">
        <v>0</v>
      </c>
      <c r="H23" s="238">
        <v>0</v>
      </c>
      <c r="I23" s="238">
        <v>55</v>
      </c>
      <c r="J23" s="238">
        <v>1158</v>
      </c>
      <c r="K23" s="238">
        <v>0</v>
      </c>
      <c r="L23" s="238">
        <v>3</v>
      </c>
      <c r="M23" s="241">
        <v>0</v>
      </c>
      <c r="N23" s="241"/>
      <c r="O23" s="251">
        <v>0</v>
      </c>
      <c r="P23" s="240">
        <f t="shared" si="1"/>
        <v>11098</v>
      </c>
    </row>
    <row r="24" spans="1:21" ht="21.75" customHeight="1" x14ac:dyDescent="0.4">
      <c r="A24" s="236">
        <v>1396</v>
      </c>
      <c r="B24" s="237">
        <v>33</v>
      </c>
      <c r="C24" s="238">
        <v>387</v>
      </c>
      <c r="D24" s="238">
        <v>8245</v>
      </c>
      <c r="E24" s="238">
        <v>2290</v>
      </c>
      <c r="F24" s="238">
        <v>17</v>
      </c>
      <c r="G24" s="238">
        <v>0</v>
      </c>
      <c r="H24" s="238">
        <v>0</v>
      </c>
      <c r="I24" s="238">
        <v>25</v>
      </c>
      <c r="J24" s="238">
        <v>999</v>
      </c>
      <c r="K24" s="238">
        <v>0</v>
      </c>
      <c r="L24" s="238">
        <v>0</v>
      </c>
      <c r="M24" s="241">
        <v>0</v>
      </c>
      <c r="N24" s="241"/>
      <c r="O24" s="251">
        <v>0</v>
      </c>
      <c r="P24" s="240">
        <f t="shared" si="1"/>
        <v>11996</v>
      </c>
    </row>
    <row r="25" spans="1:21" ht="21.75" customHeight="1" x14ac:dyDescent="0.4">
      <c r="A25" s="236">
        <v>1397</v>
      </c>
      <c r="B25" s="237">
        <v>40</v>
      </c>
      <c r="C25" s="238">
        <v>641</v>
      </c>
      <c r="D25" s="238">
        <v>7819</v>
      </c>
      <c r="E25" s="238">
        <v>2249</v>
      </c>
      <c r="F25" s="238">
        <v>54</v>
      </c>
      <c r="G25" s="238">
        <v>0</v>
      </c>
      <c r="H25" s="238">
        <v>114</v>
      </c>
      <c r="I25" s="238">
        <v>101</v>
      </c>
      <c r="J25" s="238">
        <v>1091</v>
      </c>
      <c r="K25" s="238">
        <v>0</v>
      </c>
      <c r="L25" s="238">
        <v>0</v>
      </c>
      <c r="M25" s="241">
        <v>12</v>
      </c>
      <c r="N25" s="241"/>
      <c r="O25" s="251">
        <v>0</v>
      </c>
      <c r="P25" s="240">
        <f t="shared" si="1"/>
        <v>12121</v>
      </c>
    </row>
    <row r="26" spans="1:21" ht="21.75" customHeight="1" x14ac:dyDescent="0.4">
      <c r="A26" s="236">
        <v>1398</v>
      </c>
      <c r="B26" s="268">
        <v>18.84</v>
      </c>
      <c r="C26" s="269">
        <v>1045.662</v>
      </c>
      <c r="D26" s="269">
        <v>6727.9120000000003</v>
      </c>
      <c r="E26" s="269">
        <v>1925.0930000000001</v>
      </c>
      <c r="F26" s="269">
        <v>119.851</v>
      </c>
      <c r="G26" s="269">
        <v>0</v>
      </c>
      <c r="H26" s="269">
        <v>163.238</v>
      </c>
      <c r="I26" s="269">
        <v>101.86</v>
      </c>
      <c r="J26" s="269">
        <v>960.70399999999995</v>
      </c>
      <c r="K26" s="269">
        <v>0</v>
      </c>
      <c r="L26" s="269">
        <v>0</v>
      </c>
      <c r="M26" s="270">
        <v>28.277999999999999</v>
      </c>
      <c r="N26" s="270"/>
      <c r="O26" s="271">
        <v>0</v>
      </c>
      <c r="P26" s="254">
        <f t="shared" si="1"/>
        <v>11091.438000000002</v>
      </c>
    </row>
    <row r="27" spans="1:21" ht="21.75" customHeight="1" x14ac:dyDescent="0.4">
      <c r="A27" s="272">
        <v>1399</v>
      </c>
      <c r="B27" s="273">
        <v>19.38</v>
      </c>
      <c r="C27" s="274">
        <v>770.02800000000002</v>
      </c>
      <c r="D27" s="274">
        <v>4934.8389999999999</v>
      </c>
      <c r="E27" s="274">
        <v>1939.587</v>
      </c>
      <c r="F27" s="274">
        <v>257.78100000000001</v>
      </c>
      <c r="G27" s="274">
        <v>0</v>
      </c>
      <c r="H27" s="274">
        <v>237.03200000000001</v>
      </c>
      <c r="I27" s="274">
        <v>226.05600000000001</v>
      </c>
      <c r="J27" s="274">
        <v>597.31899999999996</v>
      </c>
      <c r="K27" s="274">
        <v>106.473</v>
      </c>
      <c r="L27" s="274">
        <v>0</v>
      </c>
      <c r="M27" s="275">
        <v>54.466000000000001</v>
      </c>
      <c r="N27" s="275"/>
      <c r="O27" s="276">
        <v>0</v>
      </c>
      <c r="P27" s="252">
        <f t="shared" si="1"/>
        <v>9142.9610000000011</v>
      </c>
      <c r="R27" s="95"/>
      <c r="T27" s="95"/>
    </row>
    <row r="28" spans="1:21" ht="21.75" customHeight="1" x14ac:dyDescent="0.4">
      <c r="A28" s="236">
        <v>1400</v>
      </c>
      <c r="B28" s="268">
        <v>4.117</v>
      </c>
      <c r="C28" s="269">
        <v>1108.931</v>
      </c>
      <c r="D28" s="269">
        <v>4139.9719999999998</v>
      </c>
      <c r="E28" s="269">
        <v>2569.8310000000001</v>
      </c>
      <c r="F28" s="269">
        <v>369.53399999999999</v>
      </c>
      <c r="G28" s="269">
        <v>0</v>
      </c>
      <c r="H28" s="269">
        <v>182.054</v>
      </c>
      <c r="I28" s="269">
        <v>285.98599999999999</v>
      </c>
      <c r="J28" s="269">
        <v>605.77</v>
      </c>
      <c r="K28" s="269">
        <v>234.80099999999999</v>
      </c>
      <c r="L28" s="269">
        <v>0</v>
      </c>
      <c r="M28" s="270">
        <v>42.368000000000002</v>
      </c>
      <c r="N28" s="270"/>
      <c r="O28" s="271">
        <v>0</v>
      </c>
      <c r="P28" s="254">
        <f t="shared" si="1"/>
        <v>9543.3640000000014</v>
      </c>
      <c r="T28" s="95"/>
    </row>
    <row r="29" spans="1:21" ht="21.75" customHeight="1" thickBot="1" x14ac:dyDescent="0.45">
      <c r="A29" s="277">
        <v>1401</v>
      </c>
      <c r="B29" s="278">
        <v>39.473999999999997</v>
      </c>
      <c r="C29" s="279">
        <v>896.49699999999996</v>
      </c>
      <c r="D29" s="279">
        <v>0.04</v>
      </c>
      <c r="E29" s="279">
        <v>0</v>
      </c>
      <c r="F29" s="279">
        <v>311.95</v>
      </c>
      <c r="G29" s="279">
        <v>0</v>
      </c>
      <c r="H29" s="279">
        <v>199.15100000000001</v>
      </c>
      <c r="I29" s="279">
        <v>330.31400000000002</v>
      </c>
      <c r="J29" s="279">
        <v>0</v>
      </c>
      <c r="K29" s="279">
        <v>0</v>
      </c>
      <c r="L29" s="279">
        <v>0</v>
      </c>
      <c r="M29" s="280">
        <v>0</v>
      </c>
      <c r="N29" s="280"/>
      <c r="O29" s="280">
        <v>0.89600000000000002</v>
      </c>
      <c r="P29" s="281">
        <f t="shared" si="1"/>
        <v>1778.3220000000001</v>
      </c>
    </row>
    <row r="30" spans="1:21" ht="21.75" customHeight="1" thickBot="1" x14ac:dyDescent="0.45">
      <c r="A30" s="277">
        <v>1402</v>
      </c>
      <c r="B30" s="278">
        <v>29.821999999999999</v>
      </c>
      <c r="C30" s="279">
        <v>1044</v>
      </c>
      <c r="D30" s="279">
        <v>0.17599999999999999</v>
      </c>
      <c r="E30" s="279">
        <v>0</v>
      </c>
      <c r="F30" s="279">
        <v>395.62700000000001</v>
      </c>
      <c r="G30" s="279">
        <v>0.28000000000000003</v>
      </c>
      <c r="H30" s="279">
        <v>183.589</v>
      </c>
      <c r="I30" s="279">
        <v>176.60499999999999</v>
      </c>
      <c r="J30" s="279">
        <v>0</v>
      </c>
      <c r="K30" s="279">
        <v>0</v>
      </c>
      <c r="L30" s="279">
        <v>0</v>
      </c>
      <c r="M30" s="280">
        <v>0</v>
      </c>
      <c r="N30" s="280">
        <v>9.7569999999999997</v>
      </c>
      <c r="O30" s="280">
        <f>0.168+0.454</f>
        <v>0.622</v>
      </c>
      <c r="P30" s="281">
        <f t="shared" si="1"/>
        <v>1840.4779999999998</v>
      </c>
    </row>
    <row r="31" spans="1:21" ht="21.75" customHeight="1" thickBot="1" x14ac:dyDescent="0.45">
      <c r="A31" s="277">
        <v>1403</v>
      </c>
      <c r="B31" s="278">
        <v>20.722999999999999</v>
      </c>
      <c r="C31" s="279">
        <v>1106.4079999999999</v>
      </c>
      <c r="D31" s="279">
        <v>0.44800000000000001</v>
      </c>
      <c r="E31" s="279">
        <v>0</v>
      </c>
      <c r="F31" s="279">
        <v>447.02199999999999</v>
      </c>
      <c r="G31" s="279">
        <v>0</v>
      </c>
      <c r="H31" s="279">
        <v>167.422</v>
      </c>
      <c r="I31" s="279">
        <v>402.54</v>
      </c>
      <c r="J31" s="279">
        <v>0</v>
      </c>
      <c r="K31" s="279">
        <v>0</v>
      </c>
      <c r="L31" s="279">
        <v>0</v>
      </c>
      <c r="M31" s="280">
        <v>0</v>
      </c>
      <c r="N31" s="280">
        <v>45.713000000000001</v>
      </c>
      <c r="O31" s="280">
        <v>0.25700000000000001</v>
      </c>
      <c r="P31" s="281">
        <f t="shared" si="1"/>
        <v>2190.5330000000004</v>
      </c>
    </row>
    <row r="32" spans="1:21" ht="18.75" customHeight="1" x14ac:dyDescent="0.4">
      <c r="A32" s="2737" t="s">
        <v>411</v>
      </c>
      <c r="B32" s="2737"/>
      <c r="C32" s="2737"/>
      <c r="O32" s="96"/>
      <c r="P32" s="90">
        <f>+P31*1000-'31'!H41</f>
        <v>0</v>
      </c>
    </row>
    <row r="34" spans="2:13" x14ac:dyDescent="0.4">
      <c r="B34" s="2773"/>
      <c r="C34" s="2773"/>
      <c r="D34" s="2773"/>
      <c r="E34" s="2773"/>
      <c r="K34" s="95"/>
    </row>
    <row r="36" spans="2:13" x14ac:dyDescent="0.4">
      <c r="D36" s="95"/>
      <c r="H36" s="95"/>
    </row>
    <row r="37" spans="2:13" x14ac:dyDescent="0.4">
      <c r="D37" s="95"/>
    </row>
    <row r="41" spans="2:13" x14ac:dyDescent="0.4">
      <c r="K41" s="95"/>
      <c r="M41" s="95"/>
    </row>
  </sheetData>
  <mergeCells count="6">
    <mergeCell ref="B34:E34"/>
    <mergeCell ref="A1:L1"/>
    <mergeCell ref="A2:L2"/>
    <mergeCell ref="A17:L17"/>
    <mergeCell ref="A18:M18"/>
    <mergeCell ref="A32:C32"/>
  </mergeCells>
  <printOptions horizontalCentered="1"/>
  <pageMargins left="0.59055118110236227" right="0.59055118110236227" top="0.98425196850393704" bottom="0.98425196850393704" header="0.51181102362204722" footer="0.51181102362204722"/>
  <pageSetup paperSize="9" firstPageNumber="32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rgb="FFFFFF00"/>
  </sheetPr>
  <dimension ref="A1:J146"/>
  <sheetViews>
    <sheetView rightToLeft="1" topLeftCell="A16" workbookViewId="0">
      <selection activeCell="G24" sqref="G24:G25"/>
    </sheetView>
  </sheetViews>
  <sheetFormatPr defaultColWidth="10.625" defaultRowHeight="14.25" x14ac:dyDescent="0.2"/>
  <cols>
    <col min="1" max="1" width="7.125" style="941" customWidth="1"/>
    <col min="2" max="2" width="28" style="941" customWidth="1"/>
    <col min="3" max="3" width="18.125" style="967" customWidth="1"/>
    <col min="4" max="4" width="16.625" style="941" customWidth="1"/>
    <col min="5" max="5" width="15.5" style="941" customWidth="1"/>
    <col min="6" max="6" width="19" style="941" customWidth="1"/>
    <col min="7" max="7" width="28.375" style="941" customWidth="1"/>
    <col min="8" max="10" width="19" style="941" customWidth="1"/>
    <col min="11" max="63" width="3.5" style="941" bestFit="1" customWidth="1"/>
    <col min="64" max="167" width="4.625" style="941" bestFit="1" customWidth="1"/>
    <col min="168" max="168" width="13.875" style="941" bestFit="1" customWidth="1"/>
    <col min="169" max="169" width="7.75" style="941" bestFit="1" customWidth="1"/>
    <col min="170" max="177" width="2.375" style="941" bestFit="1" customWidth="1"/>
    <col min="178" max="267" width="3.5" style="941" bestFit="1" customWidth="1"/>
    <col min="268" max="1155" width="4.625" style="941" bestFit="1" customWidth="1"/>
    <col min="1156" max="3436" width="5.875" style="941" bestFit="1" customWidth="1"/>
    <col min="3437" max="3551" width="7" style="941" bestFit="1" customWidth="1"/>
    <col min="3552" max="3552" width="11.375" style="941" bestFit="1" customWidth="1"/>
    <col min="3553" max="3553" width="12.5" style="941" bestFit="1" customWidth="1"/>
    <col min="3554" max="3562" width="2.375" style="941" bestFit="1" customWidth="1"/>
    <col min="3563" max="3652" width="3.5" style="941" bestFit="1" customWidth="1"/>
    <col min="3653" max="4442" width="4.625" style="941" bestFit="1" customWidth="1"/>
    <col min="4443" max="4812" width="5.875" style="941" bestFit="1" customWidth="1"/>
    <col min="4813" max="4917" width="7" style="941" bestFit="1" customWidth="1"/>
    <col min="4918" max="4918" width="16.375" style="941" bestFit="1" customWidth="1"/>
    <col min="4919" max="4919" width="7.125" style="941" bestFit="1" customWidth="1"/>
    <col min="4920" max="4927" width="2.375" style="941" bestFit="1" customWidth="1"/>
    <col min="4928" max="5017" width="3.5" style="941" bestFit="1" customWidth="1"/>
    <col min="5018" max="5268" width="4.625" style="941" bestFit="1" customWidth="1"/>
    <col min="5269" max="5279" width="5.875" style="941" bestFit="1" customWidth="1"/>
    <col min="5280" max="5280" width="10.75" style="941" bestFit="1" customWidth="1"/>
    <col min="5281" max="5281" width="13.75" style="941" bestFit="1" customWidth="1"/>
    <col min="5282" max="16384" width="10.625" style="941"/>
  </cols>
  <sheetData>
    <row r="1" spans="1:6" ht="12.75" x14ac:dyDescent="0.2">
      <c r="C1" s="941"/>
    </row>
    <row r="2" spans="1:6" ht="22.5" thickBot="1" x14ac:dyDescent="0.25">
      <c r="B2" s="3583" t="s">
        <v>1168</v>
      </c>
      <c r="C2" s="3583"/>
      <c r="D2" s="3583"/>
      <c r="E2" s="3583"/>
      <c r="F2" s="3583"/>
    </row>
    <row r="3" spans="1:6" ht="21.75" thickBot="1" x14ac:dyDescent="0.25">
      <c r="A3" s="942" t="s">
        <v>1152</v>
      </c>
      <c r="B3" s="943" t="s">
        <v>1153</v>
      </c>
      <c r="C3" s="944" t="s">
        <v>1087</v>
      </c>
      <c r="D3" s="945" t="s">
        <v>1088</v>
      </c>
      <c r="E3" s="946" t="s">
        <v>1081</v>
      </c>
      <c r="F3" s="947" t="s">
        <v>170</v>
      </c>
    </row>
    <row r="4" spans="1:6" ht="19.5" x14ac:dyDescent="0.5">
      <c r="A4" s="948">
        <v>1</v>
      </c>
      <c r="B4" s="949" t="s">
        <v>1127</v>
      </c>
      <c r="C4" s="999">
        <v>9727230</v>
      </c>
      <c r="D4" s="998">
        <v>2847990</v>
      </c>
      <c r="E4" s="997"/>
      <c r="F4" s="996">
        <f t="shared" ref="F4:F13" si="0">SUM(C4:E4)</f>
        <v>12575220</v>
      </c>
    </row>
    <row r="5" spans="1:6" ht="19.5" x14ac:dyDescent="0.5">
      <c r="A5" s="953">
        <v>2</v>
      </c>
      <c r="B5" s="954" t="s">
        <v>1128</v>
      </c>
      <c r="C5" s="955"/>
      <c r="D5" s="995">
        <v>6647910</v>
      </c>
      <c r="E5" s="994"/>
      <c r="F5" s="989">
        <f t="shared" si="0"/>
        <v>6647910</v>
      </c>
    </row>
    <row r="6" spans="1:6" ht="19.5" x14ac:dyDescent="0.5">
      <c r="A6" s="953">
        <v>3</v>
      </c>
      <c r="B6" s="954" t="s">
        <v>1129</v>
      </c>
      <c r="C6" s="993">
        <v>2438548</v>
      </c>
      <c r="D6" s="992"/>
      <c r="E6" s="810">
        <v>7157</v>
      </c>
      <c r="F6" s="989">
        <f t="shared" si="0"/>
        <v>2445705</v>
      </c>
    </row>
    <row r="7" spans="1:6" ht="19.5" x14ac:dyDescent="0.5">
      <c r="A7" s="953">
        <v>4</v>
      </c>
      <c r="B7" s="954" t="s">
        <v>1130</v>
      </c>
      <c r="C7" s="993">
        <v>2011400</v>
      </c>
      <c r="D7" s="992"/>
      <c r="E7" s="810"/>
      <c r="F7" s="989">
        <f t="shared" si="0"/>
        <v>2011400</v>
      </c>
    </row>
    <row r="8" spans="1:6" ht="19.5" x14ac:dyDescent="0.5">
      <c r="A8" s="953">
        <v>5</v>
      </c>
      <c r="B8" s="954" t="s">
        <v>1131</v>
      </c>
      <c r="C8" s="993">
        <v>1949792</v>
      </c>
      <c r="D8" s="992"/>
      <c r="E8" s="810"/>
      <c r="F8" s="989">
        <f t="shared" si="0"/>
        <v>1949792</v>
      </c>
    </row>
    <row r="9" spans="1:6" ht="19.5" x14ac:dyDescent="0.5">
      <c r="A9" s="953">
        <v>6</v>
      </c>
      <c r="B9" s="954" t="s">
        <v>1132</v>
      </c>
      <c r="C9" s="993">
        <v>1670752</v>
      </c>
      <c r="D9" s="992"/>
      <c r="E9" s="810"/>
      <c r="F9" s="989">
        <f t="shared" si="0"/>
        <v>1670752</v>
      </c>
    </row>
    <row r="10" spans="1:6" ht="19.5" x14ac:dyDescent="0.5">
      <c r="A10" s="953">
        <v>7</v>
      </c>
      <c r="B10" s="954" t="s">
        <v>1133</v>
      </c>
      <c r="C10" s="993">
        <v>1904583</v>
      </c>
      <c r="D10" s="992"/>
      <c r="E10" s="810"/>
      <c r="F10" s="989">
        <f t="shared" si="0"/>
        <v>1904583</v>
      </c>
    </row>
    <row r="11" spans="1:6" ht="19.5" x14ac:dyDescent="0.5">
      <c r="A11" s="953">
        <v>8</v>
      </c>
      <c r="B11" s="954" t="s">
        <v>1134</v>
      </c>
      <c r="C11" s="993">
        <v>1140649</v>
      </c>
      <c r="D11" s="992"/>
      <c r="E11" s="810"/>
      <c r="F11" s="989">
        <f t="shared" si="0"/>
        <v>1140649</v>
      </c>
    </row>
    <row r="12" spans="1:6" ht="19.5" x14ac:dyDescent="0.5">
      <c r="A12" s="953">
        <v>9</v>
      </c>
      <c r="B12" s="954" t="s">
        <v>1135</v>
      </c>
      <c r="C12" s="993">
        <v>918321</v>
      </c>
      <c r="D12" s="992"/>
      <c r="E12" s="810"/>
      <c r="F12" s="989">
        <f t="shared" si="0"/>
        <v>918321</v>
      </c>
    </row>
    <row r="13" spans="1:6" ht="21.75" thickBot="1" x14ac:dyDescent="0.6">
      <c r="A13" s="953">
        <v>10</v>
      </c>
      <c r="B13" s="957" t="s">
        <v>1136</v>
      </c>
      <c r="C13" s="993">
        <v>294545</v>
      </c>
      <c r="D13" s="992"/>
      <c r="E13" s="810"/>
      <c r="F13" s="989">
        <f t="shared" si="0"/>
        <v>294545</v>
      </c>
    </row>
    <row r="14" spans="1:6" ht="21.75" thickBot="1" x14ac:dyDescent="0.25">
      <c r="A14" s="3595" t="s">
        <v>170</v>
      </c>
      <c r="B14" s="3596" t="s">
        <v>170</v>
      </c>
      <c r="C14" s="988">
        <f>SUM(C4:C13)</f>
        <v>22055820</v>
      </c>
      <c r="D14" s="987">
        <f>SUM(D4:D13)</f>
        <v>9495900</v>
      </c>
      <c r="E14" s="987">
        <f>SUM(E4:E13)</f>
        <v>7157</v>
      </c>
      <c r="F14" s="986">
        <f>SUM(F4:F13)</f>
        <v>31558877</v>
      </c>
    </row>
    <row r="15" spans="1:6" ht="18.75" x14ac:dyDescent="0.45">
      <c r="B15" s="3554" t="s">
        <v>1137</v>
      </c>
      <c r="C15" s="3554"/>
      <c r="D15" s="3554"/>
      <c r="E15" s="3554"/>
    </row>
    <row r="16" spans="1:6" ht="26.25" customHeight="1" x14ac:dyDescent="0.2">
      <c r="C16" s="941"/>
    </row>
    <row r="17" spans="1:10" ht="12.75" x14ac:dyDescent="0.2">
      <c r="C17" s="941"/>
    </row>
    <row r="18" spans="1:10" ht="22.5" thickBot="1" x14ac:dyDescent="0.25">
      <c r="B18" s="3583" t="s">
        <v>1154</v>
      </c>
      <c r="C18" s="3583"/>
      <c r="D18" s="3583"/>
      <c r="E18" s="3583"/>
      <c r="F18" s="3583"/>
    </row>
    <row r="19" spans="1:10" ht="33" customHeight="1" thickBot="1" x14ac:dyDescent="0.25">
      <c r="A19" s="2159" t="s">
        <v>1152</v>
      </c>
      <c r="B19" s="2159" t="s">
        <v>1153</v>
      </c>
      <c r="C19" s="2160" t="s">
        <v>1087</v>
      </c>
      <c r="D19" s="2161" t="s">
        <v>1088</v>
      </c>
      <c r="E19" s="2029" t="s">
        <v>1081</v>
      </c>
      <c r="F19" s="2162" t="s">
        <v>170</v>
      </c>
    </row>
    <row r="20" spans="1:10" ht="19.5" customHeight="1" x14ac:dyDescent="0.5">
      <c r="A20" s="2169">
        <v>1</v>
      </c>
      <c r="B20" s="2170" t="s">
        <v>1155</v>
      </c>
      <c r="C20" s="2163">
        <v>6678434.3449999997</v>
      </c>
      <c r="D20" s="2164">
        <v>278096</v>
      </c>
      <c r="E20" s="2165">
        <v>0</v>
      </c>
      <c r="F20" s="991">
        <f t="shared" ref="F20:F29" si="1">SUM(C20:E20)</f>
        <v>6956530.3449999997</v>
      </c>
      <c r="G20" s="990"/>
      <c r="H20" s="961"/>
      <c r="I20" s="961"/>
      <c r="J20" s="961"/>
    </row>
    <row r="21" spans="1:10" ht="20.25" customHeight="1" x14ac:dyDescent="0.5">
      <c r="A21" s="2171">
        <v>2</v>
      </c>
      <c r="B21" s="2172" t="s">
        <v>1128</v>
      </c>
      <c r="C21" s="2168">
        <v>0</v>
      </c>
      <c r="D21" s="2167">
        <v>616478</v>
      </c>
      <c r="E21" s="994">
        <v>0</v>
      </c>
      <c r="F21" s="989">
        <f t="shared" si="1"/>
        <v>616478</v>
      </c>
      <c r="G21" s="990"/>
      <c r="H21" s="961"/>
      <c r="I21" s="961"/>
      <c r="J21" s="961"/>
    </row>
    <row r="22" spans="1:10" ht="19.5" customHeight="1" x14ac:dyDescent="0.5">
      <c r="A22" s="2171">
        <v>3</v>
      </c>
      <c r="B22" s="2172" t="s">
        <v>1129</v>
      </c>
      <c r="C22" s="2168">
        <v>1678011.1880000001</v>
      </c>
      <c r="D22" s="994">
        <v>0</v>
      </c>
      <c r="E22" s="994">
        <v>10729.5</v>
      </c>
      <c r="F22" s="989">
        <f t="shared" si="1"/>
        <v>1688740.6880000001</v>
      </c>
      <c r="H22" s="961"/>
      <c r="I22" s="961"/>
      <c r="J22" s="961"/>
    </row>
    <row r="23" spans="1:10" ht="19.5" customHeight="1" x14ac:dyDescent="0.5">
      <c r="A23" s="2171">
        <v>4</v>
      </c>
      <c r="B23" s="2172" t="s">
        <v>1130</v>
      </c>
      <c r="C23" s="2168">
        <v>1822595.8019999999</v>
      </c>
      <c r="D23" s="994">
        <v>0</v>
      </c>
      <c r="E23" s="994">
        <v>0</v>
      </c>
      <c r="F23" s="989">
        <f t="shared" si="1"/>
        <v>1822595.8019999999</v>
      </c>
      <c r="H23" s="961"/>
      <c r="I23" s="961"/>
      <c r="J23" s="961"/>
    </row>
    <row r="24" spans="1:10" ht="19.5" customHeight="1" x14ac:dyDescent="0.5">
      <c r="A24" s="2171">
        <v>5</v>
      </c>
      <c r="B24" s="2172" t="s">
        <v>1131</v>
      </c>
      <c r="C24" s="2168">
        <v>1508182.7579999999</v>
      </c>
      <c r="D24" s="994">
        <v>0</v>
      </c>
      <c r="E24" s="994">
        <v>0</v>
      </c>
      <c r="F24" s="989">
        <f t="shared" si="1"/>
        <v>1508182.7579999999</v>
      </c>
      <c r="H24" s="961"/>
      <c r="I24" s="961"/>
      <c r="J24" s="961"/>
    </row>
    <row r="25" spans="1:10" ht="19.5" customHeight="1" x14ac:dyDescent="0.5">
      <c r="A25" s="2171">
        <v>6</v>
      </c>
      <c r="B25" s="2172" t="s">
        <v>1132</v>
      </c>
      <c r="C25" s="2168">
        <v>1023817.688</v>
      </c>
      <c r="D25" s="994">
        <v>0</v>
      </c>
      <c r="E25" s="994">
        <v>0</v>
      </c>
      <c r="F25" s="989">
        <f t="shared" si="1"/>
        <v>1023817.688</v>
      </c>
      <c r="H25" s="961"/>
      <c r="I25" s="961"/>
      <c r="J25" s="961"/>
    </row>
    <row r="26" spans="1:10" ht="19.5" customHeight="1" x14ac:dyDescent="0.5">
      <c r="A26" s="2171">
        <v>7</v>
      </c>
      <c r="B26" s="2172" t="s">
        <v>1133</v>
      </c>
      <c r="C26" s="2168">
        <v>1209673.777</v>
      </c>
      <c r="D26" s="994">
        <v>0</v>
      </c>
      <c r="E26" s="994">
        <v>0</v>
      </c>
      <c r="F26" s="989">
        <f t="shared" si="1"/>
        <v>1209673.777</v>
      </c>
      <c r="H26" s="961"/>
      <c r="I26" s="961"/>
      <c r="J26" s="961"/>
    </row>
    <row r="27" spans="1:10" ht="19.5" customHeight="1" x14ac:dyDescent="0.5">
      <c r="A27" s="2171">
        <v>8</v>
      </c>
      <c r="B27" s="2172" t="s">
        <v>1134</v>
      </c>
      <c r="C27" s="2168">
        <v>721154.21600000001</v>
      </c>
      <c r="D27" s="994">
        <v>0</v>
      </c>
      <c r="E27" s="994">
        <v>0</v>
      </c>
      <c r="F27" s="989">
        <f t="shared" si="1"/>
        <v>721154.21600000001</v>
      </c>
      <c r="H27" s="961"/>
      <c r="I27" s="961"/>
      <c r="J27" s="961"/>
    </row>
    <row r="28" spans="1:10" ht="21" customHeight="1" x14ac:dyDescent="0.5">
      <c r="A28" s="2171">
        <v>9</v>
      </c>
      <c r="B28" s="2172" t="s">
        <v>1135</v>
      </c>
      <c r="C28" s="2168">
        <v>747004.74100000004</v>
      </c>
      <c r="D28" s="994">
        <v>0</v>
      </c>
      <c r="E28" s="994">
        <v>0</v>
      </c>
      <c r="F28" s="989">
        <f t="shared" si="1"/>
        <v>747004.74100000004</v>
      </c>
      <c r="H28" s="961"/>
      <c r="I28" s="961"/>
      <c r="J28" s="961"/>
    </row>
    <row r="29" spans="1:10" ht="21" customHeight="1" thickBot="1" x14ac:dyDescent="0.6">
      <c r="A29" s="2173">
        <v>10</v>
      </c>
      <c r="B29" s="2174" t="s">
        <v>1136</v>
      </c>
      <c r="C29" s="2166">
        <v>272266.614</v>
      </c>
      <c r="D29" s="997">
        <v>0</v>
      </c>
      <c r="E29" s="997">
        <v>0</v>
      </c>
      <c r="F29" s="989">
        <f t="shared" si="1"/>
        <v>272266.614</v>
      </c>
      <c r="H29" s="961"/>
      <c r="I29" s="961"/>
      <c r="J29" s="961"/>
    </row>
    <row r="30" spans="1:10" ht="21.75" thickBot="1" x14ac:dyDescent="0.25">
      <c r="A30" s="3595" t="s">
        <v>170</v>
      </c>
      <c r="B30" s="3596" t="s">
        <v>170</v>
      </c>
      <c r="C30" s="988">
        <f>SUM(C20:C29)</f>
        <v>15661141.128999999</v>
      </c>
      <c r="D30" s="987">
        <f>SUM(D20:D29)</f>
        <v>894574</v>
      </c>
      <c r="E30" s="987">
        <f>SUM(E20:E29)</f>
        <v>10729.5</v>
      </c>
      <c r="F30" s="986">
        <f>SUM(F20:F29)</f>
        <v>16566444.628999999</v>
      </c>
    </row>
    <row r="31" spans="1:10" ht="18.75" x14ac:dyDescent="0.45">
      <c r="B31" s="3554" t="s">
        <v>1137</v>
      </c>
      <c r="C31" s="3554"/>
      <c r="D31" s="3554"/>
      <c r="E31" s="3554"/>
    </row>
    <row r="32" spans="1:10" ht="12.75" x14ac:dyDescent="0.2">
      <c r="C32" s="941"/>
    </row>
    <row r="33" spans="3:3" ht="12.75" x14ac:dyDescent="0.2">
      <c r="C33" s="941"/>
    </row>
    <row r="34" spans="3:3" ht="12.75" x14ac:dyDescent="0.2">
      <c r="C34" s="941"/>
    </row>
    <row r="35" spans="3:3" ht="12.75" x14ac:dyDescent="0.2">
      <c r="C35" s="941"/>
    </row>
    <row r="36" spans="3:3" ht="12.75" x14ac:dyDescent="0.2">
      <c r="C36" s="941"/>
    </row>
    <row r="37" spans="3:3" ht="12.75" x14ac:dyDescent="0.2">
      <c r="C37" s="941"/>
    </row>
    <row r="38" spans="3:3" ht="12.75" x14ac:dyDescent="0.2">
      <c r="C38" s="941"/>
    </row>
    <row r="39" spans="3:3" ht="12.75" x14ac:dyDescent="0.2">
      <c r="C39" s="941"/>
    </row>
    <row r="40" spans="3:3" ht="12.75" x14ac:dyDescent="0.2">
      <c r="C40" s="941"/>
    </row>
    <row r="41" spans="3:3" ht="12.75" x14ac:dyDescent="0.2">
      <c r="C41" s="941"/>
    </row>
    <row r="42" spans="3:3" ht="12.75" x14ac:dyDescent="0.2">
      <c r="C42" s="941"/>
    </row>
    <row r="43" spans="3:3" ht="12.75" x14ac:dyDescent="0.2">
      <c r="C43" s="941"/>
    </row>
    <row r="44" spans="3:3" ht="12.75" x14ac:dyDescent="0.2">
      <c r="C44" s="941"/>
    </row>
    <row r="45" spans="3:3" ht="12.75" x14ac:dyDescent="0.2">
      <c r="C45" s="941"/>
    </row>
    <row r="46" spans="3:3" ht="12.75" x14ac:dyDescent="0.2">
      <c r="C46" s="941"/>
    </row>
    <row r="47" spans="3:3" ht="12.75" x14ac:dyDescent="0.2">
      <c r="C47" s="941"/>
    </row>
    <row r="48" spans="3:3" ht="12.75" x14ac:dyDescent="0.2">
      <c r="C48" s="941"/>
    </row>
    <row r="49" spans="3:3" ht="12.75" x14ac:dyDescent="0.2">
      <c r="C49" s="941"/>
    </row>
    <row r="50" spans="3:3" ht="12.75" x14ac:dyDescent="0.2">
      <c r="C50" s="941"/>
    </row>
    <row r="51" spans="3:3" ht="12.75" x14ac:dyDescent="0.2">
      <c r="C51" s="941"/>
    </row>
    <row r="52" spans="3:3" ht="12.75" x14ac:dyDescent="0.2">
      <c r="C52" s="941"/>
    </row>
    <row r="53" spans="3:3" ht="12.75" x14ac:dyDescent="0.2">
      <c r="C53" s="941"/>
    </row>
    <row r="54" spans="3:3" ht="12.75" x14ac:dyDescent="0.2">
      <c r="C54" s="941"/>
    </row>
    <row r="55" spans="3:3" ht="12.75" x14ac:dyDescent="0.2">
      <c r="C55" s="941"/>
    </row>
    <row r="56" spans="3:3" ht="12.75" x14ac:dyDescent="0.2">
      <c r="C56" s="941"/>
    </row>
    <row r="57" spans="3:3" ht="12.75" x14ac:dyDescent="0.2">
      <c r="C57" s="941"/>
    </row>
    <row r="58" spans="3:3" ht="12.75" x14ac:dyDescent="0.2">
      <c r="C58" s="941"/>
    </row>
    <row r="59" spans="3:3" ht="12.75" x14ac:dyDescent="0.2">
      <c r="C59" s="941"/>
    </row>
    <row r="60" spans="3:3" ht="12.75" x14ac:dyDescent="0.2">
      <c r="C60" s="941"/>
    </row>
    <row r="61" spans="3:3" ht="12.75" x14ac:dyDescent="0.2">
      <c r="C61" s="941"/>
    </row>
    <row r="62" spans="3:3" ht="12.75" x14ac:dyDescent="0.2">
      <c r="C62" s="941"/>
    </row>
    <row r="63" spans="3:3" ht="12.75" x14ac:dyDescent="0.2">
      <c r="C63" s="941"/>
    </row>
    <row r="64" spans="3:3" ht="12.75" x14ac:dyDescent="0.2">
      <c r="C64" s="941"/>
    </row>
    <row r="65" spans="3:3" ht="12.75" x14ac:dyDescent="0.2">
      <c r="C65" s="941"/>
    </row>
    <row r="66" spans="3:3" ht="12.75" x14ac:dyDescent="0.2">
      <c r="C66" s="941"/>
    </row>
    <row r="67" spans="3:3" ht="12.75" x14ac:dyDescent="0.2">
      <c r="C67" s="941"/>
    </row>
    <row r="68" spans="3:3" ht="12.75" x14ac:dyDescent="0.2">
      <c r="C68" s="941"/>
    </row>
    <row r="69" spans="3:3" ht="12.75" x14ac:dyDescent="0.2">
      <c r="C69" s="941"/>
    </row>
    <row r="70" spans="3:3" ht="12.75" x14ac:dyDescent="0.2">
      <c r="C70" s="941"/>
    </row>
    <row r="71" spans="3:3" ht="12.75" x14ac:dyDescent="0.2">
      <c r="C71" s="941"/>
    </row>
    <row r="72" spans="3:3" ht="12.75" x14ac:dyDescent="0.2">
      <c r="C72" s="941"/>
    </row>
    <row r="73" spans="3:3" ht="12.75" x14ac:dyDescent="0.2">
      <c r="C73" s="941"/>
    </row>
    <row r="74" spans="3:3" ht="12.75" x14ac:dyDescent="0.2">
      <c r="C74" s="941"/>
    </row>
    <row r="75" spans="3:3" ht="12.75" x14ac:dyDescent="0.2">
      <c r="C75" s="941"/>
    </row>
    <row r="76" spans="3:3" ht="12.75" x14ac:dyDescent="0.2">
      <c r="C76" s="941"/>
    </row>
    <row r="77" spans="3:3" ht="12.75" x14ac:dyDescent="0.2">
      <c r="C77" s="941"/>
    </row>
    <row r="78" spans="3:3" ht="12.75" x14ac:dyDescent="0.2">
      <c r="C78" s="941"/>
    </row>
    <row r="79" spans="3:3" ht="12.75" x14ac:dyDescent="0.2">
      <c r="C79" s="941"/>
    </row>
    <row r="80" spans="3:3" ht="12.75" x14ac:dyDescent="0.2">
      <c r="C80" s="941"/>
    </row>
    <row r="81" spans="3:3" ht="12.75" x14ac:dyDescent="0.2">
      <c r="C81" s="941"/>
    </row>
    <row r="82" spans="3:3" ht="12.75" x14ac:dyDescent="0.2">
      <c r="C82" s="941"/>
    </row>
    <row r="83" spans="3:3" ht="12.75" x14ac:dyDescent="0.2">
      <c r="C83" s="941"/>
    </row>
    <row r="84" spans="3:3" ht="12.75" x14ac:dyDescent="0.2">
      <c r="C84" s="941"/>
    </row>
    <row r="85" spans="3:3" ht="12.75" x14ac:dyDescent="0.2">
      <c r="C85" s="941"/>
    </row>
    <row r="86" spans="3:3" ht="12.75" x14ac:dyDescent="0.2">
      <c r="C86" s="941"/>
    </row>
    <row r="87" spans="3:3" ht="12.75" x14ac:dyDescent="0.2">
      <c r="C87" s="941"/>
    </row>
    <row r="88" spans="3:3" ht="12.75" x14ac:dyDescent="0.2">
      <c r="C88" s="941"/>
    </row>
    <row r="89" spans="3:3" ht="12.75" x14ac:dyDescent="0.2">
      <c r="C89" s="941"/>
    </row>
    <row r="90" spans="3:3" ht="12.75" x14ac:dyDescent="0.2">
      <c r="C90" s="941"/>
    </row>
    <row r="91" spans="3:3" ht="12.75" x14ac:dyDescent="0.2">
      <c r="C91" s="941"/>
    </row>
    <row r="92" spans="3:3" ht="12.75" x14ac:dyDescent="0.2">
      <c r="C92" s="941"/>
    </row>
    <row r="93" spans="3:3" ht="12.75" x14ac:dyDescent="0.2">
      <c r="C93" s="941"/>
    </row>
    <row r="94" spans="3:3" ht="12.75" x14ac:dyDescent="0.2">
      <c r="C94" s="941"/>
    </row>
    <row r="95" spans="3:3" ht="12.75" x14ac:dyDescent="0.2">
      <c r="C95" s="941"/>
    </row>
    <row r="96" spans="3:3" ht="12.75" x14ac:dyDescent="0.2">
      <c r="C96" s="941"/>
    </row>
    <row r="97" spans="3:3" ht="12.75" x14ac:dyDescent="0.2">
      <c r="C97" s="941"/>
    </row>
    <row r="98" spans="3:3" ht="12.75" x14ac:dyDescent="0.2">
      <c r="C98" s="941"/>
    </row>
    <row r="99" spans="3:3" ht="12.75" x14ac:dyDescent="0.2">
      <c r="C99" s="941"/>
    </row>
    <row r="100" spans="3:3" ht="12.75" x14ac:dyDescent="0.2">
      <c r="C100" s="941"/>
    </row>
    <row r="101" spans="3:3" ht="12.75" x14ac:dyDescent="0.2">
      <c r="C101" s="941"/>
    </row>
    <row r="102" spans="3:3" ht="12.75" x14ac:dyDescent="0.2">
      <c r="C102" s="941"/>
    </row>
    <row r="103" spans="3:3" ht="12.75" x14ac:dyDescent="0.2">
      <c r="C103" s="941"/>
    </row>
    <row r="104" spans="3:3" ht="12.75" x14ac:dyDescent="0.2">
      <c r="C104" s="941"/>
    </row>
    <row r="105" spans="3:3" ht="12.75" x14ac:dyDescent="0.2">
      <c r="C105" s="941"/>
    </row>
    <row r="106" spans="3:3" ht="12.75" x14ac:dyDescent="0.2">
      <c r="C106" s="941"/>
    </row>
    <row r="107" spans="3:3" ht="12.75" x14ac:dyDescent="0.2">
      <c r="C107" s="941"/>
    </row>
    <row r="108" spans="3:3" ht="12.75" x14ac:dyDescent="0.2">
      <c r="C108" s="941"/>
    </row>
    <row r="109" spans="3:3" ht="12.75" x14ac:dyDescent="0.2">
      <c r="C109" s="941"/>
    </row>
    <row r="110" spans="3:3" ht="12.75" x14ac:dyDescent="0.2">
      <c r="C110" s="941"/>
    </row>
    <row r="111" spans="3:3" ht="12.75" x14ac:dyDescent="0.2">
      <c r="C111" s="941"/>
    </row>
    <row r="112" spans="3:3" ht="12.75" x14ac:dyDescent="0.2">
      <c r="C112" s="941"/>
    </row>
    <row r="113" spans="3:3" ht="12.75" x14ac:dyDescent="0.2">
      <c r="C113" s="941"/>
    </row>
    <row r="114" spans="3:3" ht="12.75" x14ac:dyDescent="0.2">
      <c r="C114" s="941"/>
    </row>
    <row r="115" spans="3:3" ht="12.75" x14ac:dyDescent="0.2">
      <c r="C115" s="941"/>
    </row>
    <row r="116" spans="3:3" ht="12.75" x14ac:dyDescent="0.2">
      <c r="C116" s="941"/>
    </row>
    <row r="117" spans="3:3" ht="12.75" x14ac:dyDescent="0.2">
      <c r="C117" s="941"/>
    </row>
    <row r="118" spans="3:3" ht="12.75" x14ac:dyDescent="0.2">
      <c r="C118" s="941"/>
    </row>
    <row r="119" spans="3:3" ht="12.75" x14ac:dyDescent="0.2">
      <c r="C119" s="941"/>
    </row>
    <row r="120" spans="3:3" ht="12.75" x14ac:dyDescent="0.2">
      <c r="C120" s="941"/>
    </row>
    <row r="121" spans="3:3" ht="12.75" x14ac:dyDescent="0.2">
      <c r="C121" s="941"/>
    </row>
    <row r="122" spans="3:3" ht="12.75" x14ac:dyDescent="0.2">
      <c r="C122" s="941"/>
    </row>
    <row r="123" spans="3:3" ht="12.75" x14ac:dyDescent="0.2">
      <c r="C123" s="941"/>
    </row>
    <row r="124" spans="3:3" ht="12.75" x14ac:dyDescent="0.2">
      <c r="C124" s="941"/>
    </row>
    <row r="125" spans="3:3" ht="12.75" x14ac:dyDescent="0.2">
      <c r="C125" s="941"/>
    </row>
    <row r="126" spans="3:3" ht="12.75" x14ac:dyDescent="0.2">
      <c r="C126" s="941"/>
    </row>
    <row r="127" spans="3:3" ht="12.75" x14ac:dyDescent="0.2">
      <c r="C127" s="941"/>
    </row>
    <row r="128" spans="3:3" ht="12.75" x14ac:dyDescent="0.2">
      <c r="C128" s="941"/>
    </row>
    <row r="129" spans="3:3" ht="12.75" x14ac:dyDescent="0.2">
      <c r="C129" s="941"/>
    </row>
    <row r="130" spans="3:3" ht="12.75" x14ac:dyDescent="0.2">
      <c r="C130" s="941"/>
    </row>
    <row r="131" spans="3:3" ht="12.75" x14ac:dyDescent="0.2">
      <c r="C131" s="941"/>
    </row>
    <row r="132" spans="3:3" ht="12.75" x14ac:dyDescent="0.2">
      <c r="C132" s="941"/>
    </row>
    <row r="133" spans="3:3" ht="12.75" x14ac:dyDescent="0.2">
      <c r="C133" s="941"/>
    </row>
    <row r="134" spans="3:3" ht="12.75" x14ac:dyDescent="0.2">
      <c r="C134" s="941"/>
    </row>
    <row r="135" spans="3:3" ht="12.75" x14ac:dyDescent="0.2">
      <c r="C135" s="941"/>
    </row>
    <row r="136" spans="3:3" ht="12.75" x14ac:dyDescent="0.2">
      <c r="C136" s="941"/>
    </row>
    <row r="137" spans="3:3" ht="12.75" x14ac:dyDescent="0.2">
      <c r="C137" s="941"/>
    </row>
    <row r="138" spans="3:3" ht="12.75" x14ac:dyDescent="0.2">
      <c r="C138" s="941"/>
    </row>
    <row r="139" spans="3:3" ht="12.75" x14ac:dyDescent="0.2">
      <c r="C139" s="941"/>
    </row>
    <row r="140" spans="3:3" ht="12.75" x14ac:dyDescent="0.2">
      <c r="C140" s="941"/>
    </row>
    <row r="141" spans="3:3" ht="12.75" x14ac:dyDescent="0.2">
      <c r="C141" s="941"/>
    </row>
    <row r="142" spans="3:3" ht="12.75" x14ac:dyDescent="0.2">
      <c r="C142" s="941"/>
    </row>
    <row r="143" spans="3:3" ht="12.75" x14ac:dyDescent="0.2">
      <c r="C143" s="941"/>
    </row>
    <row r="144" spans="3:3" ht="12.75" x14ac:dyDescent="0.2">
      <c r="C144" s="941"/>
    </row>
    <row r="145" spans="3:3" ht="12.75" x14ac:dyDescent="0.2">
      <c r="C145" s="941"/>
    </row>
    <row r="146" spans="3:3" ht="12.75" x14ac:dyDescent="0.2">
      <c r="C146" s="941"/>
    </row>
  </sheetData>
  <mergeCells count="6">
    <mergeCell ref="B31:E31"/>
    <mergeCell ref="B15:E15"/>
    <mergeCell ref="B2:F2"/>
    <mergeCell ref="B18:F18"/>
    <mergeCell ref="A14:B14"/>
    <mergeCell ref="A30:B30"/>
  </mergeCells>
  <printOptions horizontalCentered="1" verticalCentered="1"/>
  <pageMargins left="0.51181102362204722" right="0.51181102362204722" top="0" bottom="0" header="0.31496062992125984" footer="0.31496062992125984"/>
  <pageSetup paperSize="9" scale="80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rgb="FFFFFF00"/>
    <pageSetUpPr fitToPage="1"/>
  </sheetPr>
  <dimension ref="A1:I31"/>
  <sheetViews>
    <sheetView rightToLeft="1" zoomScale="115" zoomScaleNormal="115" workbookViewId="0">
      <selection activeCell="H4" sqref="G4:H5"/>
    </sheetView>
  </sheetViews>
  <sheetFormatPr defaultColWidth="10.625" defaultRowHeight="14.25" x14ac:dyDescent="0.2"/>
  <cols>
    <col min="1" max="1" width="6.125" style="875" bestFit="1" customWidth="1"/>
    <col min="2" max="2" width="29.875" style="875" customWidth="1"/>
    <col min="3" max="5" width="18.5" style="875" customWidth="1"/>
    <col min="6" max="6" width="24" style="875" customWidth="1"/>
    <col min="7" max="7" width="14.875" style="875" bestFit="1" customWidth="1"/>
    <col min="8" max="8" width="14.375" style="875" customWidth="1"/>
    <col min="9" max="16384" width="10.625" style="875"/>
  </cols>
  <sheetData>
    <row r="1" spans="1:8" ht="24.75" thickBot="1" x14ac:dyDescent="0.25">
      <c r="A1" s="2865" t="s">
        <v>1156</v>
      </c>
      <c r="B1" s="2865"/>
      <c r="C1" s="2865"/>
      <c r="D1" s="2865"/>
      <c r="E1" s="2865"/>
      <c r="F1" s="2865"/>
    </row>
    <row r="2" spans="1:8" ht="38.25" customHeight="1" thickBot="1" x14ac:dyDescent="0.25">
      <c r="A2" s="2179" t="s">
        <v>1152</v>
      </c>
      <c r="B2" s="2183" t="s">
        <v>1157</v>
      </c>
      <c r="C2" s="2184" t="s">
        <v>1087</v>
      </c>
      <c r="D2" s="2181" t="s">
        <v>1088</v>
      </c>
      <c r="E2" s="2181" t="s">
        <v>1081</v>
      </c>
      <c r="F2" s="2182" t="s">
        <v>170</v>
      </c>
    </row>
    <row r="3" spans="1:8" ht="19.5" x14ac:dyDescent="0.2">
      <c r="A3" s="2175">
        <v>1</v>
      </c>
      <c r="B3" s="2138" t="s">
        <v>1155</v>
      </c>
      <c r="C3" s="968">
        <v>9708311.7046540324</v>
      </c>
      <c r="D3" s="2185">
        <v>4090165</v>
      </c>
      <c r="E3" s="970">
        <v>0</v>
      </c>
      <c r="F3" s="1001">
        <f t="shared" ref="F3:F14" si="0">SUM(C3:E3)</f>
        <v>13798476.704654032</v>
      </c>
    </row>
    <row r="4" spans="1:8" ht="19.5" x14ac:dyDescent="0.2">
      <c r="A4" s="2176">
        <v>2</v>
      </c>
      <c r="B4" s="2140" t="s">
        <v>1128</v>
      </c>
      <c r="C4" s="970">
        <v>672</v>
      </c>
      <c r="D4" s="2186">
        <v>8901276</v>
      </c>
      <c r="E4" s="970">
        <v>0</v>
      </c>
      <c r="F4" s="1000">
        <f t="shared" si="0"/>
        <v>8901948</v>
      </c>
    </row>
    <row r="5" spans="1:8" ht="19.5" x14ac:dyDescent="0.2">
      <c r="A5" s="2176">
        <v>3</v>
      </c>
      <c r="B5" s="2140" t="s">
        <v>1159</v>
      </c>
      <c r="C5" s="970">
        <v>2599836.5532902195</v>
      </c>
      <c r="D5" s="970">
        <v>0</v>
      </c>
      <c r="E5" s="970">
        <v>43392</v>
      </c>
      <c r="F5" s="1000">
        <f t="shared" si="0"/>
        <v>2643228.5532902195</v>
      </c>
    </row>
    <row r="6" spans="1:8" ht="19.5" x14ac:dyDescent="0.2">
      <c r="A6" s="2176">
        <v>4</v>
      </c>
      <c r="B6" s="2140" t="s">
        <v>1130</v>
      </c>
      <c r="C6" s="970">
        <v>2050211.2765063527</v>
      </c>
      <c r="D6" s="970">
        <v>0</v>
      </c>
      <c r="E6" s="970">
        <v>0</v>
      </c>
      <c r="F6" s="1000">
        <f t="shared" si="0"/>
        <v>2050211.2765063527</v>
      </c>
    </row>
    <row r="7" spans="1:8" ht="19.5" x14ac:dyDescent="0.2">
      <c r="A7" s="2176">
        <v>5</v>
      </c>
      <c r="B7" s="2140" t="s">
        <v>1160</v>
      </c>
      <c r="C7" s="970">
        <v>1992050.3165815268</v>
      </c>
      <c r="D7" s="970">
        <v>0</v>
      </c>
      <c r="E7" s="970">
        <v>0</v>
      </c>
      <c r="F7" s="1000">
        <f t="shared" si="0"/>
        <v>1992050.3165815268</v>
      </c>
    </row>
    <row r="8" spans="1:8" ht="19.5" x14ac:dyDescent="0.2">
      <c r="A8" s="2176">
        <v>6</v>
      </c>
      <c r="B8" s="2140" t="s">
        <v>1161</v>
      </c>
      <c r="C8" s="970">
        <v>1711816.6935117566</v>
      </c>
      <c r="D8" s="970">
        <v>0</v>
      </c>
      <c r="E8" s="970">
        <v>0</v>
      </c>
      <c r="F8" s="1000">
        <f t="shared" si="0"/>
        <v>1711816.6935117566</v>
      </c>
    </row>
    <row r="9" spans="1:8" ht="19.5" x14ac:dyDescent="0.2">
      <c r="A9" s="2176">
        <v>7</v>
      </c>
      <c r="B9" s="2140" t="s">
        <v>1162</v>
      </c>
      <c r="C9" s="970">
        <v>1987676.602548169</v>
      </c>
      <c r="D9" s="970">
        <v>0</v>
      </c>
      <c r="E9" s="970">
        <v>0</v>
      </c>
      <c r="F9" s="1000">
        <f t="shared" si="0"/>
        <v>1987676.602548169</v>
      </c>
    </row>
    <row r="10" spans="1:8" ht="19.5" x14ac:dyDescent="0.2">
      <c r="A10" s="2176">
        <v>8</v>
      </c>
      <c r="B10" s="2140" t="s">
        <v>1134</v>
      </c>
      <c r="C10" s="970">
        <v>1235319.8333072085</v>
      </c>
      <c r="D10" s="970">
        <v>0</v>
      </c>
      <c r="E10" s="970">
        <v>0</v>
      </c>
      <c r="F10" s="1000">
        <f t="shared" si="0"/>
        <v>1235319.8333072085</v>
      </c>
    </row>
    <row r="11" spans="1:8" ht="19.5" x14ac:dyDescent="0.2">
      <c r="A11" s="2176">
        <v>9</v>
      </c>
      <c r="B11" s="2140" t="s">
        <v>1135</v>
      </c>
      <c r="C11" s="970">
        <v>973746.29600076983</v>
      </c>
      <c r="D11" s="970">
        <v>0</v>
      </c>
      <c r="E11" s="970">
        <v>0</v>
      </c>
      <c r="F11" s="1000">
        <f t="shared" si="0"/>
        <v>973746.29600076983</v>
      </c>
    </row>
    <row r="12" spans="1:8" ht="19.5" x14ac:dyDescent="0.2">
      <c r="A12" s="2176">
        <v>10</v>
      </c>
      <c r="B12" s="2140" t="s">
        <v>1163</v>
      </c>
      <c r="C12" s="970">
        <v>0</v>
      </c>
      <c r="D12" s="970">
        <v>0</v>
      </c>
      <c r="E12" s="970">
        <v>0</v>
      </c>
      <c r="F12" s="1000">
        <f t="shared" si="0"/>
        <v>0</v>
      </c>
    </row>
    <row r="13" spans="1:8" ht="19.5" x14ac:dyDescent="0.2">
      <c r="A13" s="2176">
        <v>11</v>
      </c>
      <c r="B13" s="2140" t="s">
        <v>1164</v>
      </c>
      <c r="C13" s="970">
        <v>317032.72359996411</v>
      </c>
      <c r="D13" s="970">
        <v>0</v>
      </c>
      <c r="E13" s="970">
        <v>0</v>
      </c>
      <c r="F13" s="1000">
        <f t="shared" si="0"/>
        <v>317032.72359996411</v>
      </c>
    </row>
    <row r="14" spans="1:8" ht="20.25" thickBot="1" x14ac:dyDescent="0.25">
      <c r="A14" s="3597" t="s">
        <v>170</v>
      </c>
      <c r="B14" s="3598"/>
      <c r="C14" s="2177">
        <f>SUM(C3:C13)</f>
        <v>22576674</v>
      </c>
      <c r="D14" s="2177">
        <f>SUM(D3:D13)</f>
        <v>12991441</v>
      </c>
      <c r="E14" s="2177">
        <f>SUM(E3:E13)</f>
        <v>43392</v>
      </c>
      <c r="F14" s="2178">
        <f t="shared" si="0"/>
        <v>35611507</v>
      </c>
      <c r="G14" s="974"/>
      <c r="H14" s="974"/>
    </row>
    <row r="15" spans="1:8" ht="30.75" customHeight="1" x14ac:dyDescent="0.45">
      <c r="B15" s="3599" t="s">
        <v>1137</v>
      </c>
      <c r="C15" s="3599"/>
      <c r="D15" s="3599"/>
      <c r="E15" s="3599"/>
      <c r="F15" s="974"/>
    </row>
    <row r="16" spans="1:8" ht="45" customHeight="1" x14ac:dyDescent="0.45">
      <c r="B16" s="975"/>
      <c r="C16" s="975"/>
      <c r="D16" s="975"/>
      <c r="E16" s="975"/>
      <c r="F16" s="974"/>
    </row>
    <row r="17" spans="1:9" ht="24.75" thickBot="1" x14ac:dyDescent="0.25">
      <c r="A17" s="2865" t="s">
        <v>1169</v>
      </c>
      <c r="B17" s="2865"/>
      <c r="C17" s="2865"/>
      <c r="D17" s="2865"/>
      <c r="E17" s="2865"/>
      <c r="F17" s="2865"/>
    </row>
    <row r="18" spans="1:9" ht="34.5" customHeight="1" thickBot="1" x14ac:dyDescent="0.25">
      <c r="A18" s="2179" t="s">
        <v>1152</v>
      </c>
      <c r="B18" s="2180" t="s">
        <v>1157</v>
      </c>
      <c r="C18" s="2181" t="s">
        <v>1087</v>
      </c>
      <c r="D18" s="2181" t="s">
        <v>1088</v>
      </c>
      <c r="E18" s="2181" t="s">
        <v>1081</v>
      </c>
      <c r="F18" s="2182" t="s">
        <v>170</v>
      </c>
    </row>
    <row r="19" spans="1:9" ht="19.5" x14ac:dyDescent="0.2">
      <c r="A19" s="2175">
        <v>1</v>
      </c>
      <c r="B19" s="2138" t="s">
        <v>1155</v>
      </c>
      <c r="C19" s="968">
        <v>7326625</v>
      </c>
      <c r="D19" s="968">
        <v>633279.55599999998</v>
      </c>
      <c r="E19" s="968">
        <v>0</v>
      </c>
      <c r="F19" s="1001">
        <f t="shared" ref="F19:F29" si="1">SUM(C19:E19)</f>
        <v>7959904.5559999999</v>
      </c>
      <c r="G19" s="974"/>
      <c r="H19" s="974"/>
      <c r="I19" s="974"/>
    </row>
    <row r="20" spans="1:9" ht="19.5" x14ac:dyDescent="0.2">
      <c r="A20" s="2176">
        <v>2</v>
      </c>
      <c r="B20" s="2140" t="s">
        <v>1128</v>
      </c>
      <c r="C20" s="970">
        <v>224.44800000000001</v>
      </c>
      <c r="D20" s="970">
        <v>723008.16</v>
      </c>
      <c r="E20" s="970">
        <v>0</v>
      </c>
      <c r="F20" s="1000">
        <f t="shared" si="1"/>
        <v>723232.60800000001</v>
      </c>
      <c r="G20" s="974"/>
      <c r="H20" s="974"/>
      <c r="I20" s="974"/>
    </row>
    <row r="21" spans="1:9" ht="19.5" x14ac:dyDescent="0.2">
      <c r="A21" s="2176">
        <v>3</v>
      </c>
      <c r="B21" s="2140" t="s">
        <v>1159</v>
      </c>
      <c r="C21" s="970">
        <v>1842479</v>
      </c>
      <c r="D21" s="970">
        <v>0</v>
      </c>
      <c r="E21" s="970">
        <v>41257.167999999998</v>
      </c>
      <c r="F21" s="1000">
        <f t="shared" si="1"/>
        <v>1883736.1680000001</v>
      </c>
      <c r="G21" s="974"/>
      <c r="H21" s="974"/>
      <c r="I21" s="974"/>
    </row>
    <row r="22" spans="1:9" ht="19.5" x14ac:dyDescent="0.2">
      <c r="A22" s="2176">
        <v>4</v>
      </c>
      <c r="B22" s="2140" t="s">
        <v>1130</v>
      </c>
      <c r="C22" s="970">
        <v>2103980.480452301</v>
      </c>
      <c r="D22" s="970">
        <v>0</v>
      </c>
      <c r="E22" s="970">
        <v>0</v>
      </c>
      <c r="F22" s="1000">
        <f t="shared" si="1"/>
        <v>2103980.480452301</v>
      </c>
      <c r="G22" s="974"/>
      <c r="H22" s="974"/>
      <c r="I22" s="974"/>
    </row>
    <row r="23" spans="1:9" ht="19.5" x14ac:dyDescent="0.2">
      <c r="A23" s="2176">
        <v>5</v>
      </c>
      <c r="B23" s="2140" t="s">
        <v>1160</v>
      </c>
      <c r="C23" s="970">
        <v>1570222.2909860238</v>
      </c>
      <c r="D23" s="970">
        <v>0</v>
      </c>
      <c r="E23" s="970">
        <v>0</v>
      </c>
      <c r="F23" s="1000">
        <f t="shared" si="1"/>
        <v>1570222.2909860238</v>
      </c>
      <c r="G23" s="974"/>
      <c r="H23" s="974"/>
      <c r="I23" s="974"/>
    </row>
    <row r="24" spans="1:9" ht="19.5" x14ac:dyDescent="0.2">
      <c r="A24" s="2176">
        <v>6</v>
      </c>
      <c r="B24" s="2140" t="s">
        <v>1161</v>
      </c>
      <c r="C24" s="970">
        <v>1118056.8126735555</v>
      </c>
      <c r="D24" s="970">
        <v>0</v>
      </c>
      <c r="E24" s="970">
        <v>0</v>
      </c>
      <c r="F24" s="1000">
        <f t="shared" si="1"/>
        <v>1118056.8126735555</v>
      </c>
      <c r="G24" s="974"/>
      <c r="H24" s="974"/>
      <c r="I24" s="974"/>
    </row>
    <row r="25" spans="1:9" ht="19.5" x14ac:dyDescent="0.2">
      <c r="A25" s="2176">
        <v>7</v>
      </c>
      <c r="B25" s="2140" t="s">
        <v>1162</v>
      </c>
      <c r="C25" s="970">
        <v>1311750.4653866517</v>
      </c>
      <c r="D25" s="970">
        <v>0</v>
      </c>
      <c r="E25" s="970">
        <v>0</v>
      </c>
      <c r="F25" s="1000">
        <f t="shared" si="1"/>
        <v>1311750.4653866517</v>
      </c>
      <c r="G25" s="974"/>
      <c r="H25" s="974"/>
      <c r="I25" s="974"/>
    </row>
    <row r="26" spans="1:9" ht="19.5" x14ac:dyDescent="0.2">
      <c r="A26" s="2176">
        <v>8</v>
      </c>
      <c r="B26" s="2140" t="s">
        <v>1134</v>
      </c>
      <c r="C26" s="970">
        <v>850066.12302323605</v>
      </c>
      <c r="D26" s="970">
        <v>0</v>
      </c>
      <c r="E26" s="970">
        <v>0</v>
      </c>
      <c r="F26" s="1000">
        <f t="shared" si="1"/>
        <v>850066.12302323605</v>
      </c>
      <c r="G26" s="974"/>
      <c r="H26" s="974"/>
      <c r="I26" s="974"/>
    </row>
    <row r="27" spans="1:9" ht="19.5" x14ac:dyDescent="0.2">
      <c r="A27" s="2176">
        <v>9</v>
      </c>
      <c r="B27" s="2140" t="s">
        <v>1135</v>
      </c>
      <c r="C27" s="970">
        <v>800629.06303563679</v>
      </c>
      <c r="D27" s="970">
        <v>0</v>
      </c>
      <c r="E27" s="970">
        <v>0</v>
      </c>
      <c r="F27" s="1000">
        <f t="shared" si="1"/>
        <v>800629.06303563679</v>
      </c>
      <c r="G27" s="974"/>
      <c r="H27" s="974"/>
      <c r="I27" s="974"/>
    </row>
    <row r="28" spans="1:9" ht="19.5" x14ac:dyDescent="0.2">
      <c r="A28" s="2176">
        <v>10</v>
      </c>
      <c r="B28" s="2140" t="s">
        <v>1163</v>
      </c>
      <c r="C28" s="970">
        <v>0</v>
      </c>
      <c r="D28" s="970">
        <v>0</v>
      </c>
      <c r="E28" s="970">
        <v>0</v>
      </c>
      <c r="F28" s="1000">
        <f t="shared" si="1"/>
        <v>0</v>
      </c>
      <c r="G28" s="974"/>
      <c r="H28" s="974"/>
      <c r="I28" s="974"/>
    </row>
    <row r="29" spans="1:9" ht="19.5" x14ac:dyDescent="0.2">
      <c r="A29" s="2176">
        <v>11</v>
      </c>
      <c r="B29" s="2140" t="s">
        <v>1164</v>
      </c>
      <c r="C29" s="970">
        <v>288022.34612350608</v>
      </c>
      <c r="D29" s="970">
        <v>0</v>
      </c>
      <c r="E29" s="970">
        <v>0</v>
      </c>
      <c r="F29" s="1000">
        <f t="shared" si="1"/>
        <v>288022.34612350608</v>
      </c>
      <c r="G29" s="974"/>
      <c r="H29" s="974"/>
      <c r="I29" s="974"/>
    </row>
    <row r="30" spans="1:9" ht="20.25" thickBot="1" x14ac:dyDescent="0.25">
      <c r="A30" s="3597" t="s">
        <v>170</v>
      </c>
      <c r="B30" s="3598"/>
      <c r="C30" s="2177">
        <f>SUM(C19:C29)</f>
        <v>17212056.029680908</v>
      </c>
      <c r="D30" s="2177">
        <f>SUM(D19:D29)</f>
        <v>1356287.716</v>
      </c>
      <c r="E30" s="2177">
        <f>SUM(E19:E29)</f>
        <v>41257.167999999998</v>
      </c>
      <c r="F30" s="2178">
        <f>SUM(F19:F29)</f>
        <v>18609600.913680911</v>
      </c>
      <c r="G30" s="974"/>
      <c r="H30" s="974"/>
      <c r="I30" s="974"/>
    </row>
    <row r="31" spans="1:9" ht="18" x14ac:dyDescent="0.45">
      <c r="B31" s="3599" t="s">
        <v>1137</v>
      </c>
      <c r="C31" s="3599"/>
      <c r="D31" s="3599"/>
      <c r="E31" s="3599"/>
    </row>
  </sheetData>
  <mergeCells count="6">
    <mergeCell ref="A14:B14"/>
    <mergeCell ref="A30:B30"/>
    <mergeCell ref="A17:F17"/>
    <mergeCell ref="A1:F1"/>
    <mergeCell ref="B31:E31"/>
    <mergeCell ref="B15:E1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FFFF00"/>
    <pageSetUpPr fitToPage="1"/>
  </sheetPr>
  <dimension ref="A1:H18"/>
  <sheetViews>
    <sheetView rightToLeft="1" zoomScaleNormal="100" workbookViewId="0">
      <selection activeCell="H3" sqref="H3"/>
    </sheetView>
  </sheetViews>
  <sheetFormatPr defaultColWidth="9.5" defaultRowHeight="24" x14ac:dyDescent="0.6"/>
  <cols>
    <col min="1" max="1" width="7.125" style="976" bestFit="1" customWidth="1"/>
    <col min="2" max="2" width="27.125" style="976" customWidth="1"/>
    <col min="3" max="6" width="21" style="976" customWidth="1"/>
    <col min="7" max="16384" width="9.5" style="976"/>
  </cols>
  <sheetData>
    <row r="1" spans="1:8" ht="27.75" customHeight="1" thickBot="1" x14ac:dyDescent="0.65">
      <c r="A1" s="3592" t="s">
        <v>1166</v>
      </c>
      <c r="B1" s="3592"/>
      <c r="C1" s="3592"/>
      <c r="D1" s="3592"/>
      <c r="E1" s="3592"/>
      <c r="F1" s="3592"/>
    </row>
    <row r="2" spans="1:8" ht="37.5" customHeight="1" thickBot="1" x14ac:dyDescent="0.65">
      <c r="A2" s="2187" t="s">
        <v>1152</v>
      </c>
      <c r="B2" s="2188" t="s">
        <v>1157</v>
      </c>
      <c r="C2" s="2189" t="s">
        <v>1167</v>
      </c>
      <c r="D2" s="2190" t="s">
        <v>1088</v>
      </c>
      <c r="E2" s="2191" t="s">
        <v>1081</v>
      </c>
      <c r="F2" s="2192" t="s">
        <v>170</v>
      </c>
    </row>
    <row r="3" spans="1:8" ht="24.75" customHeight="1" x14ac:dyDescent="0.6">
      <c r="A3" s="2196">
        <v>1</v>
      </c>
      <c r="B3" s="2205" t="s">
        <v>1155</v>
      </c>
      <c r="C3" s="2203">
        <v>17683</v>
      </c>
      <c r="D3" s="2198">
        <v>12825</v>
      </c>
      <c r="E3" s="2197">
        <v>0</v>
      </c>
      <c r="F3" s="2199">
        <f t="shared" ref="F3:F13" si="0">SUM(C3:E3)</f>
        <v>30508</v>
      </c>
      <c r="G3" s="979"/>
      <c r="H3" s="979"/>
    </row>
    <row r="4" spans="1:8" ht="24.75" customHeight="1" x14ac:dyDescent="0.6">
      <c r="A4" s="2155">
        <v>2</v>
      </c>
      <c r="B4" s="2156" t="s">
        <v>1128</v>
      </c>
      <c r="C4" s="2148">
        <v>2</v>
      </c>
      <c r="D4" s="2193">
        <v>20736</v>
      </c>
      <c r="E4" s="980">
        <v>0</v>
      </c>
      <c r="F4" s="1002">
        <f t="shared" si="0"/>
        <v>20738</v>
      </c>
      <c r="G4" s="979"/>
      <c r="H4" s="979"/>
    </row>
    <row r="5" spans="1:8" ht="24.75" customHeight="1" x14ac:dyDescent="0.6">
      <c r="A5" s="2155">
        <v>3</v>
      </c>
      <c r="B5" s="2156" t="s">
        <v>1159</v>
      </c>
      <c r="C5" s="2148">
        <v>4441</v>
      </c>
      <c r="D5" s="980">
        <v>0</v>
      </c>
      <c r="E5" s="980">
        <v>104</v>
      </c>
      <c r="F5" s="1002">
        <f t="shared" si="0"/>
        <v>4545</v>
      </c>
      <c r="G5" s="979"/>
      <c r="H5" s="979"/>
    </row>
    <row r="6" spans="1:8" ht="24.75" customHeight="1" x14ac:dyDescent="0.6">
      <c r="A6" s="2155">
        <v>4</v>
      </c>
      <c r="B6" s="2156" t="s">
        <v>1130</v>
      </c>
      <c r="C6" s="2148">
        <v>3055</v>
      </c>
      <c r="D6" s="980">
        <v>0</v>
      </c>
      <c r="E6" s="980">
        <v>0</v>
      </c>
      <c r="F6" s="1002">
        <f t="shared" si="0"/>
        <v>3055</v>
      </c>
      <c r="G6" s="979"/>
      <c r="H6" s="979"/>
    </row>
    <row r="7" spans="1:8" ht="24.75" customHeight="1" x14ac:dyDescent="0.6">
      <c r="A7" s="2155">
        <v>5</v>
      </c>
      <c r="B7" s="2156" t="s">
        <v>1160</v>
      </c>
      <c r="C7" s="2148">
        <v>2361</v>
      </c>
      <c r="D7" s="980">
        <v>0</v>
      </c>
      <c r="E7" s="980">
        <v>0</v>
      </c>
      <c r="F7" s="1002">
        <f t="shared" si="0"/>
        <v>2361</v>
      </c>
      <c r="G7" s="979"/>
      <c r="H7" s="979"/>
    </row>
    <row r="8" spans="1:8" ht="24.75" customHeight="1" x14ac:dyDescent="0.6">
      <c r="A8" s="2155">
        <v>6</v>
      </c>
      <c r="B8" s="2156" t="s">
        <v>1161</v>
      </c>
      <c r="C8" s="2148">
        <v>3281</v>
      </c>
      <c r="D8" s="980">
        <v>0</v>
      </c>
      <c r="E8" s="980">
        <v>0</v>
      </c>
      <c r="F8" s="1002">
        <f t="shared" si="0"/>
        <v>3281</v>
      </c>
      <c r="G8" s="979"/>
      <c r="H8" s="979"/>
    </row>
    <row r="9" spans="1:8" ht="24.75" customHeight="1" x14ac:dyDescent="0.6">
      <c r="A9" s="2155">
        <v>7</v>
      </c>
      <c r="B9" s="2156" t="s">
        <v>1162</v>
      </c>
      <c r="C9" s="2148">
        <v>2737</v>
      </c>
      <c r="D9" s="980">
        <v>0</v>
      </c>
      <c r="E9" s="980">
        <v>0</v>
      </c>
      <c r="F9" s="1002">
        <f t="shared" si="0"/>
        <v>2737</v>
      </c>
      <c r="G9" s="979"/>
      <c r="H9" s="979"/>
    </row>
    <row r="10" spans="1:8" ht="24.75" customHeight="1" x14ac:dyDescent="0.6">
      <c r="A10" s="2155">
        <v>8</v>
      </c>
      <c r="B10" s="2156" t="s">
        <v>1134</v>
      </c>
      <c r="C10" s="2148">
        <v>1878</v>
      </c>
      <c r="D10" s="980">
        <v>0</v>
      </c>
      <c r="E10" s="980">
        <v>0</v>
      </c>
      <c r="F10" s="1002">
        <f t="shared" si="0"/>
        <v>1878</v>
      </c>
      <c r="G10" s="979"/>
      <c r="H10" s="979"/>
    </row>
    <row r="11" spans="1:8" ht="24.75" customHeight="1" x14ac:dyDescent="0.6">
      <c r="A11" s="2155">
        <v>9</v>
      </c>
      <c r="B11" s="2156" t="s">
        <v>1135</v>
      </c>
      <c r="C11" s="2148">
        <v>1983</v>
      </c>
      <c r="D11" s="980">
        <v>0</v>
      </c>
      <c r="E11" s="980">
        <v>0</v>
      </c>
      <c r="F11" s="1002">
        <f t="shared" si="0"/>
        <v>1983</v>
      </c>
      <c r="G11" s="979"/>
      <c r="H11" s="979"/>
    </row>
    <row r="12" spans="1:8" ht="24.75" customHeight="1" x14ac:dyDescent="0.6">
      <c r="A12" s="2155">
        <v>10</v>
      </c>
      <c r="B12" s="2156" t="s">
        <v>1163</v>
      </c>
      <c r="C12" s="2148">
        <v>0</v>
      </c>
      <c r="D12" s="980">
        <v>0</v>
      </c>
      <c r="E12" s="980">
        <v>0</v>
      </c>
      <c r="F12" s="1002">
        <f t="shared" si="0"/>
        <v>0</v>
      </c>
      <c r="G12" s="979"/>
      <c r="H12" s="979"/>
    </row>
    <row r="13" spans="1:8" ht="24.75" customHeight="1" thickBot="1" x14ac:dyDescent="0.65">
      <c r="A13" s="2200">
        <v>11</v>
      </c>
      <c r="B13" s="2206" t="s">
        <v>1164</v>
      </c>
      <c r="C13" s="2204">
        <v>757</v>
      </c>
      <c r="D13" s="2201">
        <v>0</v>
      </c>
      <c r="E13" s="2201">
        <v>0</v>
      </c>
      <c r="F13" s="2202">
        <f t="shared" si="0"/>
        <v>757</v>
      </c>
      <c r="G13" s="979"/>
      <c r="H13" s="979"/>
    </row>
    <row r="14" spans="1:8" ht="24.75" thickBot="1" x14ac:dyDescent="0.65">
      <c r="A14" s="3600" t="s">
        <v>170</v>
      </c>
      <c r="B14" s="3601"/>
      <c r="C14" s="2194">
        <f>SUM(C3:C13)</f>
        <v>38178</v>
      </c>
      <c r="D14" s="2194">
        <f>SUM(D3:D13)</f>
        <v>33561</v>
      </c>
      <c r="E14" s="2194">
        <f>SUM(E3:E13)</f>
        <v>104</v>
      </c>
      <c r="F14" s="2195">
        <f>SUM(F3:F13)</f>
        <v>71843</v>
      </c>
      <c r="G14" s="979"/>
    </row>
    <row r="15" spans="1:8" ht="18" customHeight="1" x14ac:dyDescent="0.6">
      <c r="A15" s="3554" t="s">
        <v>1137</v>
      </c>
      <c r="B15" s="3554"/>
      <c r="C15" s="3554"/>
      <c r="D15" s="3554"/>
      <c r="E15" s="3554"/>
    </row>
    <row r="18" spans="6:6" x14ac:dyDescent="0.6">
      <c r="F18" s="979"/>
    </row>
  </sheetData>
  <mergeCells count="3">
    <mergeCell ref="A1:F1"/>
    <mergeCell ref="A14:B14"/>
    <mergeCell ref="A15:E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rgb="FFFFFF00"/>
  </sheetPr>
  <dimension ref="A1:D32"/>
  <sheetViews>
    <sheetView rightToLeft="1" workbookViewId="0">
      <selection activeCell="L24" sqref="L24"/>
    </sheetView>
  </sheetViews>
  <sheetFormatPr defaultColWidth="8.125" defaultRowHeight="14.25" x14ac:dyDescent="0.2"/>
  <cols>
    <col min="1" max="1" width="15.5" style="1014" customWidth="1"/>
    <col min="2" max="2" width="13" style="1014" customWidth="1"/>
    <col min="3" max="3" width="13.75" style="1014" customWidth="1"/>
    <col min="4" max="4" width="30.75" style="1014" customWidth="1"/>
    <col min="5" max="16384" width="8.125" style="1014"/>
  </cols>
  <sheetData>
    <row r="1" spans="1:4" ht="21.75" thickBot="1" x14ac:dyDescent="0.25">
      <c r="A1" s="3622" t="s">
        <v>1186</v>
      </c>
      <c r="B1" s="3622"/>
      <c r="C1" s="3622"/>
      <c r="D1" s="3622"/>
    </row>
    <row r="2" spans="1:4" ht="38.25" customHeight="1" thickBot="1" x14ac:dyDescent="0.25">
      <c r="A2" s="2128" t="s">
        <v>1187</v>
      </c>
      <c r="B2" s="2129" t="s">
        <v>1188</v>
      </c>
      <c r="C2" s="2129" t="s">
        <v>1189</v>
      </c>
      <c r="D2" s="2130" t="s">
        <v>1190</v>
      </c>
    </row>
    <row r="3" spans="1:4" ht="20.25" customHeight="1" x14ac:dyDescent="0.2">
      <c r="A3" s="3623" t="s">
        <v>1191</v>
      </c>
      <c r="B3" s="3626" t="s">
        <v>1192</v>
      </c>
      <c r="C3" s="3629">
        <v>52</v>
      </c>
      <c r="D3" s="3630" t="s">
        <v>1193</v>
      </c>
    </row>
    <row r="4" spans="1:4" ht="20.25" customHeight="1" x14ac:dyDescent="0.2">
      <c r="A4" s="3624"/>
      <c r="B4" s="3627"/>
      <c r="C4" s="3612"/>
      <c r="D4" s="3621"/>
    </row>
    <row r="5" spans="1:4" ht="20.25" customHeight="1" x14ac:dyDescent="0.2">
      <c r="A5" s="3624"/>
      <c r="B5" s="3627"/>
      <c r="C5" s="3612">
        <v>4</v>
      </c>
      <c r="D5" s="3617" t="s">
        <v>1194</v>
      </c>
    </row>
    <row r="6" spans="1:4" ht="20.25" customHeight="1" x14ac:dyDescent="0.2">
      <c r="A6" s="3625"/>
      <c r="B6" s="3628"/>
      <c r="C6" s="3612"/>
      <c r="D6" s="3631"/>
    </row>
    <row r="7" spans="1:4" ht="20.25" customHeight="1" x14ac:dyDescent="0.2">
      <c r="A7" s="3610" t="s">
        <v>1195</v>
      </c>
      <c r="B7" s="3611" t="s">
        <v>1192</v>
      </c>
      <c r="C7" s="3612">
        <v>12</v>
      </c>
      <c r="D7" s="3621" t="s">
        <v>1196</v>
      </c>
    </row>
    <row r="8" spans="1:4" ht="20.25" customHeight="1" x14ac:dyDescent="0.2">
      <c r="A8" s="3610"/>
      <c r="B8" s="3611"/>
      <c r="C8" s="3612"/>
      <c r="D8" s="3621"/>
    </row>
    <row r="9" spans="1:4" ht="20.25" customHeight="1" x14ac:dyDescent="0.2">
      <c r="A9" s="3610" t="s">
        <v>1197</v>
      </c>
      <c r="B9" s="3611" t="s">
        <v>1192</v>
      </c>
      <c r="C9" s="3612">
        <v>25</v>
      </c>
      <c r="D9" s="3621" t="s">
        <v>1196</v>
      </c>
    </row>
    <row r="10" spans="1:4" ht="20.25" customHeight="1" x14ac:dyDescent="0.2">
      <c r="A10" s="3610"/>
      <c r="B10" s="3611"/>
      <c r="C10" s="3612"/>
      <c r="D10" s="3621"/>
    </row>
    <row r="11" spans="1:4" ht="20.25" customHeight="1" x14ac:dyDescent="0.2">
      <c r="A11" s="3610" t="s">
        <v>1198</v>
      </c>
      <c r="B11" s="3611" t="s">
        <v>1192</v>
      </c>
      <c r="C11" s="3612">
        <v>2</v>
      </c>
      <c r="D11" s="3621" t="s">
        <v>1196</v>
      </c>
    </row>
    <row r="12" spans="1:4" ht="20.25" customHeight="1" x14ac:dyDescent="0.2">
      <c r="A12" s="3610"/>
      <c r="B12" s="3611"/>
      <c r="C12" s="3612"/>
      <c r="D12" s="3621"/>
    </row>
    <row r="13" spans="1:4" ht="18.75" customHeight="1" x14ac:dyDescent="0.2">
      <c r="A13" s="3610" t="s">
        <v>1199</v>
      </c>
      <c r="B13" s="3611" t="s">
        <v>1192</v>
      </c>
      <c r="C13" s="3620">
        <v>13</v>
      </c>
      <c r="D13" s="3621" t="s">
        <v>1196</v>
      </c>
    </row>
    <row r="14" spans="1:4" ht="20.25" customHeight="1" x14ac:dyDescent="0.2">
      <c r="A14" s="3610"/>
      <c r="B14" s="3611"/>
      <c r="C14" s="3612"/>
      <c r="D14" s="3621"/>
    </row>
    <row r="15" spans="1:4" ht="20.25" customHeight="1" x14ac:dyDescent="0.2">
      <c r="A15" s="3610" t="s">
        <v>1200</v>
      </c>
      <c r="B15" s="3611" t="s">
        <v>1192</v>
      </c>
      <c r="C15" s="3620">
        <v>12</v>
      </c>
      <c r="D15" s="3621" t="s">
        <v>1201</v>
      </c>
    </row>
    <row r="16" spans="1:4" ht="20.25" customHeight="1" x14ac:dyDescent="0.2">
      <c r="A16" s="3610"/>
      <c r="B16" s="3611"/>
      <c r="C16" s="3612"/>
      <c r="D16" s="3621"/>
    </row>
    <row r="17" spans="1:4" ht="20.25" customHeight="1" x14ac:dyDescent="0.2">
      <c r="A17" s="3610" t="s">
        <v>1202</v>
      </c>
      <c r="B17" s="3611" t="s">
        <v>1192</v>
      </c>
      <c r="C17" s="3612">
        <v>3</v>
      </c>
      <c r="D17" s="3613" t="s">
        <v>1201</v>
      </c>
    </row>
    <row r="18" spans="1:4" ht="20.25" customHeight="1" x14ac:dyDescent="0.2">
      <c r="A18" s="3610"/>
      <c r="B18" s="3611"/>
      <c r="C18" s="3612"/>
      <c r="D18" s="3613"/>
    </row>
    <row r="19" spans="1:4" ht="20.25" customHeight="1" x14ac:dyDescent="0.2">
      <c r="A19" s="3610" t="s">
        <v>1203</v>
      </c>
      <c r="B19" s="3611" t="s">
        <v>1192</v>
      </c>
      <c r="C19" s="3612">
        <v>50</v>
      </c>
      <c r="D19" s="3613" t="s">
        <v>1201</v>
      </c>
    </row>
    <row r="20" spans="1:4" ht="20.25" customHeight="1" x14ac:dyDescent="0.2">
      <c r="A20" s="3610"/>
      <c r="B20" s="3611"/>
      <c r="C20" s="3612"/>
      <c r="D20" s="3613"/>
    </row>
    <row r="21" spans="1:4" ht="15" customHeight="1" x14ac:dyDescent="0.2">
      <c r="A21" s="3610" t="s">
        <v>1204</v>
      </c>
      <c r="B21" s="3611" t="s">
        <v>1192</v>
      </c>
      <c r="C21" s="3612">
        <v>12</v>
      </c>
      <c r="D21" s="3613" t="s">
        <v>1201</v>
      </c>
    </row>
    <row r="22" spans="1:4" ht="15.75" customHeight="1" x14ac:dyDescent="0.2">
      <c r="A22" s="3610"/>
      <c r="B22" s="3611"/>
      <c r="C22" s="3612"/>
      <c r="D22" s="3613"/>
    </row>
    <row r="23" spans="1:4" ht="20.25" customHeight="1" x14ac:dyDescent="0.2">
      <c r="A23" s="3610" t="s">
        <v>1205</v>
      </c>
      <c r="B23" s="3611" t="s">
        <v>1192</v>
      </c>
      <c r="C23" s="3619">
        <v>21</v>
      </c>
      <c r="D23" s="3613" t="s">
        <v>1206</v>
      </c>
    </row>
    <row r="24" spans="1:4" ht="20.25" customHeight="1" x14ac:dyDescent="0.2">
      <c r="A24" s="3610"/>
      <c r="B24" s="3611"/>
      <c r="C24" s="3612"/>
      <c r="D24" s="3613"/>
    </row>
    <row r="25" spans="1:4" ht="20.25" customHeight="1" x14ac:dyDescent="0.2">
      <c r="A25" s="3610" t="s">
        <v>1198</v>
      </c>
      <c r="B25" s="3611" t="s">
        <v>1192</v>
      </c>
      <c r="C25" s="3612">
        <v>10</v>
      </c>
      <c r="D25" s="3613" t="s">
        <v>1206</v>
      </c>
    </row>
    <row r="26" spans="1:4" ht="20.25" customHeight="1" x14ac:dyDescent="0.2">
      <c r="A26" s="3610"/>
      <c r="B26" s="3611"/>
      <c r="C26" s="3612"/>
      <c r="D26" s="3613"/>
    </row>
    <row r="27" spans="1:4" ht="20.25" customHeight="1" x14ac:dyDescent="0.2">
      <c r="A27" s="3610" t="s">
        <v>1207</v>
      </c>
      <c r="B27" s="3611" t="s">
        <v>1192</v>
      </c>
      <c r="C27" s="3612">
        <v>1</v>
      </c>
      <c r="D27" s="3613" t="s">
        <v>1208</v>
      </c>
    </row>
    <row r="28" spans="1:4" ht="20.25" customHeight="1" x14ac:dyDescent="0.2">
      <c r="A28" s="3610"/>
      <c r="B28" s="3611"/>
      <c r="C28" s="3612"/>
      <c r="D28" s="3613"/>
    </row>
    <row r="29" spans="1:4" ht="20.25" customHeight="1" x14ac:dyDescent="0.2">
      <c r="A29" s="3610" t="s">
        <v>1209</v>
      </c>
      <c r="B29" s="3611" t="s">
        <v>1192</v>
      </c>
      <c r="C29" s="3612">
        <v>2</v>
      </c>
      <c r="D29" s="3617" t="s">
        <v>1194</v>
      </c>
    </row>
    <row r="30" spans="1:4" ht="20.25" customHeight="1" thickBot="1" x14ac:dyDescent="0.25">
      <c r="A30" s="3614"/>
      <c r="B30" s="3615"/>
      <c r="C30" s="3616"/>
      <c r="D30" s="3618"/>
    </row>
    <row r="31" spans="1:4" x14ac:dyDescent="0.2">
      <c r="A31" s="3602" t="s">
        <v>917</v>
      </c>
      <c r="B31" s="3603"/>
      <c r="C31" s="3606">
        <f>SUM(C3:C30)</f>
        <v>219</v>
      </c>
      <c r="D31" s="3607"/>
    </row>
    <row r="32" spans="1:4" ht="15" thickBot="1" x14ac:dyDescent="0.25">
      <c r="A32" s="3604"/>
      <c r="B32" s="3605"/>
      <c r="C32" s="3608"/>
      <c r="D32" s="3609"/>
    </row>
  </sheetData>
  <mergeCells count="57">
    <mergeCell ref="A1:D1"/>
    <mergeCell ref="A3:A6"/>
    <mergeCell ref="B3:B6"/>
    <mergeCell ref="C3:C4"/>
    <mergeCell ref="D3:D4"/>
    <mergeCell ref="C5:C6"/>
    <mergeCell ref="D5:D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31:B32"/>
    <mergeCell ref="C31:D32"/>
    <mergeCell ref="A27:A28"/>
    <mergeCell ref="B27:B28"/>
    <mergeCell ref="C27:C28"/>
    <mergeCell ref="D27:D28"/>
    <mergeCell ref="A29:A30"/>
    <mergeCell ref="B29:B30"/>
    <mergeCell ref="C29:C30"/>
    <mergeCell ref="D29:D3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FFFF00"/>
  </sheetPr>
  <dimension ref="A1:G15"/>
  <sheetViews>
    <sheetView rightToLeft="1" workbookViewId="0">
      <selection activeCell="H4" sqref="H4"/>
    </sheetView>
  </sheetViews>
  <sheetFormatPr defaultRowHeight="18" x14ac:dyDescent="0.5"/>
  <cols>
    <col min="1" max="1" width="6.125" style="682" customWidth="1"/>
    <col min="2" max="2" width="26.5" style="682" customWidth="1"/>
    <col min="3" max="3" width="16.875" style="682" bestFit="1" customWidth="1"/>
    <col min="4" max="4" width="19" style="682" bestFit="1" customWidth="1"/>
    <col min="5" max="5" width="20.75" style="682" bestFit="1" customWidth="1"/>
    <col min="6" max="6" width="18.25" style="682" bestFit="1" customWidth="1"/>
    <col min="7" max="7" width="9.75" style="682" customWidth="1"/>
    <col min="8" max="16384" width="9" style="682"/>
  </cols>
  <sheetData>
    <row r="1" spans="1:7" ht="20.25" thickBot="1" x14ac:dyDescent="0.55000000000000004">
      <c r="A1" s="3632" t="s">
        <v>1210</v>
      </c>
      <c r="B1" s="3632"/>
      <c r="C1" s="3632"/>
      <c r="D1" s="3632"/>
      <c r="E1" s="3632"/>
      <c r="F1" s="3632"/>
      <c r="G1" s="3632"/>
    </row>
    <row r="2" spans="1:7" ht="37.5" customHeight="1" thickBot="1" x14ac:dyDescent="0.55000000000000004">
      <c r="A2" s="2208" t="s">
        <v>190</v>
      </c>
      <c r="B2" s="2210" t="s">
        <v>1211</v>
      </c>
      <c r="C2" s="2217" t="s">
        <v>1212</v>
      </c>
      <c r="D2" s="2209" t="s">
        <v>1213</v>
      </c>
      <c r="E2" s="2209" t="s">
        <v>1214</v>
      </c>
      <c r="F2" s="2209" t="s">
        <v>1215</v>
      </c>
      <c r="G2" s="2210" t="s">
        <v>170</v>
      </c>
    </row>
    <row r="3" spans="1:7" ht="19.5" x14ac:dyDescent="0.5">
      <c r="A3" s="2211">
        <v>1</v>
      </c>
      <c r="B3" s="2221" t="s">
        <v>1127</v>
      </c>
      <c r="C3" s="2218">
        <v>533</v>
      </c>
      <c r="D3" s="2207">
        <v>178</v>
      </c>
      <c r="E3" s="2207">
        <v>167</v>
      </c>
      <c r="F3" s="2207">
        <v>238</v>
      </c>
      <c r="G3" s="2212">
        <f t="shared" ref="G3:G14" si="0">SUM(C3:F3)</f>
        <v>1116</v>
      </c>
    </row>
    <row r="4" spans="1:7" ht="19.5" x14ac:dyDescent="0.5">
      <c r="A4" s="2213">
        <v>2</v>
      </c>
      <c r="B4" s="2222" t="s">
        <v>1216</v>
      </c>
      <c r="C4" s="2219">
        <v>106</v>
      </c>
      <c r="D4" s="1015">
        <v>0</v>
      </c>
      <c r="E4" s="1015">
        <v>0</v>
      </c>
      <c r="F4" s="1015">
        <f>124-106</f>
        <v>18</v>
      </c>
      <c r="G4" s="2214">
        <f t="shared" si="0"/>
        <v>124</v>
      </c>
    </row>
    <row r="5" spans="1:7" ht="19.5" x14ac:dyDescent="0.5">
      <c r="A5" s="2213">
        <v>3</v>
      </c>
      <c r="B5" s="2222" t="s">
        <v>1217</v>
      </c>
      <c r="C5" s="2219">
        <v>120</v>
      </c>
      <c r="D5" s="1015">
        <v>10</v>
      </c>
      <c r="E5" s="1015">
        <v>0</v>
      </c>
      <c r="F5" s="1015">
        <v>5</v>
      </c>
      <c r="G5" s="2214">
        <f t="shared" si="0"/>
        <v>135</v>
      </c>
    </row>
    <row r="6" spans="1:7" ht="19.5" x14ac:dyDescent="0.5">
      <c r="A6" s="2213">
        <v>4</v>
      </c>
      <c r="B6" s="2222" t="s">
        <v>1218</v>
      </c>
      <c r="C6" s="2219">
        <v>111</v>
      </c>
      <c r="D6" s="1015">
        <v>11</v>
      </c>
      <c r="E6" s="1015">
        <v>0</v>
      </c>
      <c r="F6" s="1015">
        <f>135-111-11</f>
        <v>13</v>
      </c>
      <c r="G6" s="2214">
        <f t="shared" si="0"/>
        <v>135</v>
      </c>
    </row>
    <row r="7" spans="1:7" ht="19.5" x14ac:dyDescent="0.5">
      <c r="A7" s="2213">
        <v>5</v>
      </c>
      <c r="B7" s="2222" t="s">
        <v>1219</v>
      </c>
      <c r="C7" s="2219">
        <v>66</v>
      </c>
      <c r="D7" s="1015">
        <v>3</v>
      </c>
      <c r="E7" s="1015">
        <v>0</v>
      </c>
      <c r="F7" s="1015">
        <v>8</v>
      </c>
      <c r="G7" s="2214">
        <f t="shared" si="0"/>
        <v>77</v>
      </c>
    </row>
    <row r="8" spans="1:7" ht="19.5" x14ac:dyDescent="0.5">
      <c r="A8" s="2213">
        <v>6</v>
      </c>
      <c r="B8" s="2222" t="s">
        <v>1131</v>
      </c>
      <c r="C8" s="2219">
        <v>87</v>
      </c>
      <c r="D8" s="1015">
        <v>0</v>
      </c>
      <c r="E8" s="1015">
        <v>0</v>
      </c>
      <c r="F8" s="1015">
        <f>103-87</f>
        <v>16</v>
      </c>
      <c r="G8" s="2214">
        <f t="shared" si="0"/>
        <v>103</v>
      </c>
    </row>
    <row r="9" spans="1:7" ht="19.5" x14ac:dyDescent="0.5">
      <c r="A9" s="2213">
        <v>7</v>
      </c>
      <c r="B9" s="2222" t="s">
        <v>1132</v>
      </c>
      <c r="C9" s="2219">
        <v>85</v>
      </c>
      <c r="D9" s="1015">
        <v>19</v>
      </c>
      <c r="E9" s="1015">
        <v>0</v>
      </c>
      <c r="F9" s="1015">
        <f>98-19-73</f>
        <v>6</v>
      </c>
      <c r="G9" s="2214">
        <f t="shared" si="0"/>
        <v>110</v>
      </c>
    </row>
    <row r="10" spans="1:7" ht="19.5" x14ac:dyDescent="0.5">
      <c r="A10" s="2213">
        <v>8</v>
      </c>
      <c r="B10" s="2223" t="s">
        <v>1220</v>
      </c>
      <c r="C10" s="2219">
        <v>33</v>
      </c>
      <c r="D10" s="1015">
        <v>4</v>
      </c>
      <c r="E10" s="1015">
        <v>88</v>
      </c>
      <c r="F10" s="1015">
        <v>0</v>
      </c>
      <c r="G10" s="2214">
        <f t="shared" si="0"/>
        <v>125</v>
      </c>
    </row>
    <row r="11" spans="1:7" ht="19.5" x14ac:dyDescent="0.5">
      <c r="A11" s="2213">
        <v>9</v>
      </c>
      <c r="B11" s="2222" t="s">
        <v>1221</v>
      </c>
      <c r="C11" s="2219">
        <v>54</v>
      </c>
      <c r="D11" s="1015">
        <v>0</v>
      </c>
      <c r="E11" s="1015">
        <v>0</v>
      </c>
      <c r="F11" s="1015">
        <v>10</v>
      </c>
      <c r="G11" s="2214">
        <f t="shared" si="0"/>
        <v>64</v>
      </c>
    </row>
    <row r="12" spans="1:7" ht="19.5" x14ac:dyDescent="0.5">
      <c r="A12" s="2213">
        <v>10</v>
      </c>
      <c r="B12" s="2222" t="s">
        <v>1162</v>
      </c>
      <c r="C12" s="2219">
        <v>94</v>
      </c>
      <c r="D12" s="1015">
        <v>0</v>
      </c>
      <c r="E12" s="1015">
        <v>0</v>
      </c>
      <c r="F12" s="1015">
        <v>0</v>
      </c>
      <c r="G12" s="2214">
        <f t="shared" si="0"/>
        <v>94</v>
      </c>
    </row>
    <row r="13" spans="1:7" ht="19.5" x14ac:dyDescent="0.5">
      <c r="A13" s="2213">
        <v>11</v>
      </c>
      <c r="B13" s="2222" t="s">
        <v>1222</v>
      </c>
      <c r="C13" s="2219">
        <v>72</v>
      </c>
      <c r="D13" s="1015">
        <v>0</v>
      </c>
      <c r="E13" s="1015">
        <v>0</v>
      </c>
      <c r="F13" s="1015">
        <v>2</v>
      </c>
      <c r="G13" s="2214">
        <f t="shared" si="0"/>
        <v>74</v>
      </c>
    </row>
    <row r="14" spans="1:7" ht="19.5" x14ac:dyDescent="0.5">
      <c r="A14" s="2213">
        <v>12</v>
      </c>
      <c r="B14" s="2222" t="s">
        <v>1223</v>
      </c>
      <c r="C14" s="2219">
        <v>0</v>
      </c>
      <c r="D14" s="1015">
        <v>0</v>
      </c>
      <c r="E14" s="1015">
        <v>0</v>
      </c>
      <c r="F14" s="1015">
        <v>32</v>
      </c>
      <c r="G14" s="2214">
        <f t="shared" si="0"/>
        <v>32</v>
      </c>
    </row>
    <row r="15" spans="1:7" ht="22.5" customHeight="1" thickBot="1" x14ac:dyDescent="0.55000000000000004">
      <c r="A15" s="3633" t="s">
        <v>66</v>
      </c>
      <c r="B15" s="3634"/>
      <c r="C15" s="2220">
        <f>SUM(C3:C14)</f>
        <v>1361</v>
      </c>
      <c r="D15" s="2215">
        <f t="shared" ref="D15:F15" si="1">SUM(D3:D14)</f>
        <v>225</v>
      </c>
      <c r="E15" s="2215">
        <f t="shared" si="1"/>
        <v>255</v>
      </c>
      <c r="F15" s="2215">
        <f t="shared" si="1"/>
        <v>348</v>
      </c>
      <c r="G15" s="2216">
        <f>SUM(G3:G14)</f>
        <v>2189</v>
      </c>
    </row>
  </sheetData>
  <mergeCells count="2">
    <mergeCell ref="A1:G1"/>
    <mergeCell ref="A15:B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rgb="FFFFFF00"/>
  </sheetPr>
  <dimension ref="A1:Q71"/>
  <sheetViews>
    <sheetView rightToLeft="1" zoomScale="60" zoomScaleNormal="60" workbookViewId="0">
      <selection activeCell="C20" sqref="C20"/>
    </sheetView>
  </sheetViews>
  <sheetFormatPr defaultColWidth="9.375" defaultRowHeight="22.5" x14ac:dyDescent="0.2"/>
  <cols>
    <col min="1" max="1" width="5.875" style="1095" customWidth="1"/>
    <col min="2" max="2" width="57.75" style="1095" bestFit="1" customWidth="1"/>
    <col min="3" max="17" width="12.5" style="1095" customWidth="1"/>
    <col min="18" max="16384" width="9.375" style="1072"/>
  </cols>
  <sheetData>
    <row r="1" spans="1:17" ht="53.25" customHeight="1" thickBot="1" x14ac:dyDescent="0.25">
      <c r="A1" s="3635" t="s">
        <v>1279</v>
      </c>
      <c r="B1" s="3635"/>
      <c r="C1" s="3635"/>
      <c r="D1" s="3635"/>
      <c r="E1" s="3635"/>
      <c r="F1" s="3635"/>
      <c r="G1" s="3635"/>
      <c r="H1" s="3635"/>
      <c r="I1" s="3635"/>
      <c r="J1" s="3635"/>
      <c r="K1" s="3635"/>
      <c r="L1" s="3635"/>
      <c r="M1" s="3635"/>
      <c r="N1" s="3635"/>
      <c r="O1" s="3635"/>
      <c r="P1" s="3635"/>
      <c r="Q1" s="3635"/>
    </row>
    <row r="2" spans="1:17" s="1078" customFormat="1" ht="111" customHeight="1" thickBot="1" x14ac:dyDescent="0.25">
      <c r="A2" s="1073" t="s">
        <v>1152</v>
      </c>
      <c r="B2" s="1074" t="s">
        <v>1280</v>
      </c>
      <c r="C2" s="1075" t="s">
        <v>1281</v>
      </c>
      <c r="D2" s="1076" t="s">
        <v>1282</v>
      </c>
      <c r="E2" s="1076" t="s">
        <v>1283</v>
      </c>
      <c r="F2" s="1076" t="s">
        <v>1284</v>
      </c>
      <c r="G2" s="1076" t="s">
        <v>1285</v>
      </c>
      <c r="H2" s="1076" t="s">
        <v>1286</v>
      </c>
      <c r="I2" s="1076" t="s">
        <v>1287</v>
      </c>
      <c r="J2" s="1076" t="s">
        <v>1288</v>
      </c>
      <c r="K2" s="1076" t="s">
        <v>1289</v>
      </c>
      <c r="L2" s="1076" t="s">
        <v>1290</v>
      </c>
      <c r="M2" s="1076" t="s">
        <v>1291</v>
      </c>
      <c r="N2" s="1076" t="s">
        <v>1292</v>
      </c>
      <c r="O2" s="1076" t="s">
        <v>1293</v>
      </c>
      <c r="P2" s="1076" t="s">
        <v>1294</v>
      </c>
      <c r="Q2" s="1077" t="s">
        <v>66</v>
      </c>
    </row>
    <row r="3" spans="1:17" ht="23.25" customHeight="1" x14ac:dyDescent="0.2">
      <c r="A3" s="1079">
        <v>1</v>
      </c>
      <c r="B3" s="1080" t="s">
        <v>1295</v>
      </c>
      <c r="C3" s="1081"/>
      <c r="D3" s="1082"/>
      <c r="E3" s="1082"/>
      <c r="F3" s="1082"/>
      <c r="G3" s="1082"/>
      <c r="H3" s="1082"/>
      <c r="I3" s="1082">
        <v>800</v>
      </c>
      <c r="J3" s="1082"/>
      <c r="K3" s="1082"/>
      <c r="L3" s="1082"/>
      <c r="M3" s="1082"/>
      <c r="N3" s="1082"/>
      <c r="O3" s="1082"/>
      <c r="P3" s="1082"/>
      <c r="Q3" s="1083">
        <f t="shared" ref="Q3:Q49" si="0">SUM(C3:P3)</f>
        <v>800</v>
      </c>
    </row>
    <row r="4" spans="1:17" ht="23.25" customHeight="1" x14ac:dyDescent="0.2">
      <c r="A4" s="1084">
        <f t="shared" ref="A4:A46" si="1">+A3+1</f>
        <v>2</v>
      </c>
      <c r="B4" s="1085" t="s">
        <v>1296</v>
      </c>
      <c r="C4" s="1086"/>
      <c r="D4" s="1087">
        <v>22</v>
      </c>
      <c r="E4" s="1087"/>
      <c r="F4" s="1087"/>
      <c r="G4" s="1087">
        <v>75</v>
      </c>
      <c r="H4" s="1087"/>
      <c r="I4" s="1087">
        <v>487</v>
      </c>
      <c r="J4" s="1087"/>
      <c r="K4" s="1087"/>
      <c r="L4" s="1087"/>
      <c r="M4" s="1087"/>
      <c r="N4" s="1087"/>
      <c r="O4" s="1087"/>
      <c r="P4" s="1087"/>
      <c r="Q4" s="1088">
        <f t="shared" si="0"/>
        <v>584</v>
      </c>
    </row>
    <row r="5" spans="1:17" ht="23.25" customHeight="1" x14ac:dyDescent="0.2">
      <c r="A5" s="1084">
        <f t="shared" si="1"/>
        <v>3</v>
      </c>
      <c r="B5" s="1085" t="s">
        <v>1297</v>
      </c>
      <c r="C5" s="1086"/>
      <c r="D5" s="1087">
        <v>6</v>
      </c>
      <c r="E5" s="1087"/>
      <c r="F5" s="1087"/>
      <c r="G5" s="1087"/>
      <c r="H5" s="1087"/>
      <c r="I5" s="1087"/>
      <c r="J5" s="1087"/>
      <c r="K5" s="1087">
        <v>1</v>
      </c>
      <c r="L5" s="1087"/>
      <c r="M5" s="1087"/>
      <c r="N5" s="1087"/>
      <c r="O5" s="1087"/>
      <c r="P5" s="1087"/>
      <c r="Q5" s="1088">
        <f t="shared" si="0"/>
        <v>7</v>
      </c>
    </row>
    <row r="6" spans="1:17" ht="23.25" customHeight="1" x14ac:dyDescent="0.2">
      <c r="A6" s="1084">
        <f t="shared" si="1"/>
        <v>4</v>
      </c>
      <c r="B6" s="1085" t="s">
        <v>1298</v>
      </c>
      <c r="C6" s="1086"/>
      <c r="D6" s="1087"/>
      <c r="E6" s="1087"/>
      <c r="F6" s="1087"/>
      <c r="G6" s="1087"/>
      <c r="H6" s="1087"/>
      <c r="I6" s="1087">
        <v>745</v>
      </c>
      <c r="J6" s="1087"/>
      <c r="K6" s="1087">
        <v>493</v>
      </c>
      <c r="L6" s="1087"/>
      <c r="M6" s="1087">
        <v>155</v>
      </c>
      <c r="N6" s="1087">
        <v>102</v>
      </c>
      <c r="O6" s="1087"/>
      <c r="P6" s="1087"/>
      <c r="Q6" s="1088">
        <f t="shared" si="0"/>
        <v>1495</v>
      </c>
    </row>
    <row r="7" spans="1:17" ht="23.25" customHeight="1" x14ac:dyDescent="0.2">
      <c r="A7" s="1084">
        <f t="shared" si="1"/>
        <v>5</v>
      </c>
      <c r="B7" s="1085" t="s">
        <v>1299</v>
      </c>
      <c r="C7" s="1086"/>
      <c r="D7" s="1087"/>
      <c r="E7" s="1087"/>
      <c r="F7" s="1087"/>
      <c r="G7" s="1087"/>
      <c r="H7" s="1087"/>
      <c r="I7" s="1087"/>
      <c r="J7" s="1087"/>
      <c r="K7" s="1087"/>
      <c r="L7" s="1087"/>
      <c r="M7" s="1087">
        <v>82</v>
      </c>
      <c r="N7" s="1087">
        <v>47</v>
      </c>
      <c r="O7" s="1087"/>
      <c r="P7" s="1087"/>
      <c r="Q7" s="1088">
        <f t="shared" si="0"/>
        <v>129</v>
      </c>
    </row>
    <row r="8" spans="1:17" ht="23.25" customHeight="1" x14ac:dyDescent="0.2">
      <c r="A8" s="1084">
        <f t="shared" si="1"/>
        <v>6</v>
      </c>
      <c r="B8" s="1085" t="s">
        <v>1300</v>
      </c>
      <c r="C8" s="1086"/>
      <c r="D8" s="1087"/>
      <c r="E8" s="1087"/>
      <c r="F8" s="1087"/>
      <c r="G8" s="1087"/>
      <c r="H8" s="1087"/>
      <c r="I8" s="1087"/>
      <c r="J8" s="1087"/>
      <c r="K8" s="1087">
        <v>118</v>
      </c>
      <c r="L8" s="1087"/>
      <c r="M8" s="1087"/>
      <c r="N8" s="1087"/>
      <c r="O8" s="1087"/>
      <c r="P8" s="1087"/>
      <c r="Q8" s="1088">
        <f t="shared" si="0"/>
        <v>118</v>
      </c>
    </row>
    <row r="9" spans="1:17" ht="23.25" customHeight="1" x14ac:dyDescent="0.2">
      <c r="A9" s="1084">
        <f t="shared" si="1"/>
        <v>7</v>
      </c>
      <c r="B9" s="1085" t="s">
        <v>1301</v>
      </c>
      <c r="C9" s="1086"/>
      <c r="D9" s="1087"/>
      <c r="E9" s="1087"/>
      <c r="F9" s="1087"/>
      <c r="G9" s="1087"/>
      <c r="H9" s="1087"/>
      <c r="I9" s="1087"/>
      <c r="J9" s="1087"/>
      <c r="K9" s="1087"/>
      <c r="L9" s="1087">
        <v>83</v>
      </c>
      <c r="M9" s="1087"/>
      <c r="N9" s="1087"/>
      <c r="O9" s="1087"/>
      <c r="P9" s="1087"/>
      <c r="Q9" s="1088">
        <f t="shared" si="0"/>
        <v>83</v>
      </c>
    </row>
    <row r="10" spans="1:17" ht="23.25" customHeight="1" x14ac:dyDescent="0.2">
      <c r="A10" s="1084">
        <f t="shared" si="1"/>
        <v>8</v>
      </c>
      <c r="B10" s="1085" t="s">
        <v>1302</v>
      </c>
      <c r="C10" s="1086"/>
      <c r="D10" s="1087">
        <v>317</v>
      </c>
      <c r="E10" s="1087"/>
      <c r="F10" s="1087"/>
      <c r="G10" s="1087"/>
      <c r="H10" s="1087"/>
      <c r="I10" s="1087">
        <v>2073</v>
      </c>
      <c r="J10" s="1087"/>
      <c r="K10" s="1087">
        <v>239</v>
      </c>
      <c r="L10" s="1087"/>
      <c r="M10" s="1087"/>
      <c r="N10" s="1087"/>
      <c r="O10" s="1087">
        <v>410</v>
      </c>
      <c r="P10" s="1087"/>
      <c r="Q10" s="1088">
        <f t="shared" si="0"/>
        <v>3039</v>
      </c>
    </row>
    <row r="11" spans="1:17" ht="23.25" customHeight="1" x14ac:dyDescent="0.2">
      <c r="A11" s="1084">
        <f t="shared" si="1"/>
        <v>9</v>
      </c>
      <c r="B11" s="1085" t="s">
        <v>1303</v>
      </c>
      <c r="C11" s="1086"/>
      <c r="D11" s="1087"/>
      <c r="E11" s="1087"/>
      <c r="F11" s="1087"/>
      <c r="G11" s="1087"/>
      <c r="H11" s="1087"/>
      <c r="I11" s="1087"/>
      <c r="J11" s="1087"/>
      <c r="K11" s="1087"/>
      <c r="L11" s="1087"/>
      <c r="M11" s="1087">
        <v>50</v>
      </c>
      <c r="N11" s="1087"/>
      <c r="O11" s="1087"/>
      <c r="P11" s="1087"/>
      <c r="Q11" s="1088">
        <f t="shared" si="0"/>
        <v>50</v>
      </c>
    </row>
    <row r="12" spans="1:17" ht="23.25" customHeight="1" x14ac:dyDescent="0.2">
      <c r="A12" s="1084">
        <f t="shared" si="1"/>
        <v>10</v>
      </c>
      <c r="B12" s="1085" t="s">
        <v>1304</v>
      </c>
      <c r="C12" s="1086"/>
      <c r="D12" s="1087"/>
      <c r="E12" s="1087"/>
      <c r="F12" s="1087"/>
      <c r="G12" s="1087">
        <v>573</v>
      </c>
      <c r="H12" s="1087"/>
      <c r="I12" s="1087"/>
      <c r="J12" s="1087"/>
      <c r="K12" s="1087"/>
      <c r="L12" s="1087">
        <v>89</v>
      </c>
      <c r="M12" s="1087"/>
      <c r="N12" s="1087"/>
      <c r="O12" s="1087">
        <v>580</v>
      </c>
      <c r="P12" s="1087"/>
      <c r="Q12" s="1088">
        <f t="shared" si="0"/>
        <v>1242</v>
      </c>
    </row>
    <row r="13" spans="1:17" ht="23.25" customHeight="1" x14ac:dyDescent="0.2">
      <c r="A13" s="1084">
        <f t="shared" si="1"/>
        <v>11</v>
      </c>
      <c r="B13" s="1085" t="s">
        <v>1305</v>
      </c>
      <c r="C13" s="1086"/>
      <c r="D13" s="1087"/>
      <c r="E13" s="1087"/>
      <c r="F13" s="1087"/>
      <c r="G13" s="1087"/>
      <c r="H13" s="1087"/>
      <c r="I13" s="1087">
        <v>200</v>
      </c>
      <c r="J13" s="1087"/>
      <c r="K13" s="1087">
        <v>436</v>
      </c>
      <c r="L13" s="1087">
        <v>134</v>
      </c>
      <c r="M13" s="1087"/>
      <c r="N13" s="1087"/>
      <c r="O13" s="1087"/>
      <c r="P13" s="1087"/>
      <c r="Q13" s="1088">
        <f t="shared" si="0"/>
        <v>770</v>
      </c>
    </row>
    <row r="14" spans="1:17" ht="23.25" customHeight="1" x14ac:dyDescent="0.2">
      <c r="A14" s="1084">
        <f t="shared" si="1"/>
        <v>12</v>
      </c>
      <c r="B14" s="1085" t="s">
        <v>1306</v>
      </c>
      <c r="C14" s="1086"/>
      <c r="D14" s="1087"/>
      <c r="E14" s="1087"/>
      <c r="F14" s="1087"/>
      <c r="G14" s="1087"/>
      <c r="H14" s="1087"/>
      <c r="I14" s="1087"/>
      <c r="J14" s="1087"/>
      <c r="K14" s="1087"/>
      <c r="L14" s="1087">
        <v>48</v>
      </c>
      <c r="M14" s="1087"/>
      <c r="N14" s="1087"/>
      <c r="O14" s="1087"/>
      <c r="P14" s="1087"/>
      <c r="Q14" s="1088">
        <f t="shared" si="0"/>
        <v>48</v>
      </c>
    </row>
    <row r="15" spans="1:17" ht="23.25" customHeight="1" x14ac:dyDescent="0.2">
      <c r="A15" s="1084">
        <f t="shared" si="1"/>
        <v>13</v>
      </c>
      <c r="B15" s="1085" t="s">
        <v>1307</v>
      </c>
      <c r="C15" s="1086"/>
      <c r="D15" s="1087"/>
      <c r="E15" s="1087"/>
      <c r="F15" s="1087">
        <v>80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8">
        <f t="shared" si="0"/>
        <v>80</v>
      </c>
    </row>
    <row r="16" spans="1:17" ht="23.25" customHeight="1" x14ac:dyDescent="0.2">
      <c r="A16" s="1084">
        <f t="shared" si="1"/>
        <v>14</v>
      </c>
      <c r="B16" s="1085" t="s">
        <v>1308</v>
      </c>
      <c r="C16" s="1086"/>
      <c r="D16" s="1087"/>
      <c r="E16" s="1087"/>
      <c r="F16" s="1087"/>
      <c r="G16" s="1087"/>
      <c r="H16" s="1087"/>
      <c r="I16" s="1087"/>
      <c r="J16" s="1087"/>
      <c r="K16" s="1087"/>
      <c r="L16" s="1087"/>
      <c r="M16" s="1087">
        <v>600</v>
      </c>
      <c r="N16" s="1087"/>
      <c r="O16" s="1087"/>
      <c r="P16" s="1087"/>
      <c r="Q16" s="1088">
        <f t="shared" si="0"/>
        <v>600</v>
      </c>
    </row>
    <row r="17" spans="1:17" ht="23.25" customHeight="1" x14ac:dyDescent="0.2">
      <c r="A17" s="1084">
        <f t="shared" si="1"/>
        <v>15</v>
      </c>
      <c r="B17" s="1085" t="s">
        <v>1309</v>
      </c>
      <c r="C17" s="1086"/>
      <c r="D17" s="1087">
        <v>446</v>
      </c>
      <c r="E17" s="1087"/>
      <c r="F17" s="1087"/>
      <c r="G17" s="1087"/>
      <c r="H17" s="1087"/>
      <c r="I17" s="1087">
        <v>1156</v>
      </c>
      <c r="J17" s="1087"/>
      <c r="K17" s="1087"/>
      <c r="L17" s="1087"/>
      <c r="M17" s="1087"/>
      <c r="N17" s="1087"/>
      <c r="O17" s="1087"/>
      <c r="P17" s="1087"/>
      <c r="Q17" s="1088">
        <f t="shared" si="0"/>
        <v>1602</v>
      </c>
    </row>
    <row r="18" spans="1:17" ht="23.25" customHeight="1" x14ac:dyDescent="0.2">
      <c r="A18" s="1084">
        <f t="shared" si="1"/>
        <v>16</v>
      </c>
      <c r="B18" s="1085" t="s">
        <v>1310</v>
      </c>
      <c r="C18" s="1086"/>
      <c r="D18" s="1087"/>
      <c r="E18" s="1087"/>
      <c r="F18" s="1087"/>
      <c r="G18" s="1087"/>
      <c r="H18" s="1087"/>
      <c r="I18" s="1087"/>
      <c r="J18" s="1087"/>
      <c r="K18" s="1087">
        <v>510</v>
      </c>
      <c r="L18" s="1087"/>
      <c r="M18" s="1087">
        <v>127</v>
      </c>
      <c r="N18" s="1087"/>
      <c r="O18" s="1087"/>
      <c r="P18" s="1087"/>
      <c r="Q18" s="1088">
        <f t="shared" si="0"/>
        <v>637</v>
      </c>
    </row>
    <row r="19" spans="1:17" ht="23.25" customHeight="1" x14ac:dyDescent="0.2">
      <c r="A19" s="1084">
        <f t="shared" si="1"/>
        <v>17</v>
      </c>
      <c r="B19" s="1085" t="s">
        <v>1311</v>
      </c>
      <c r="C19" s="1086"/>
      <c r="D19" s="1087"/>
      <c r="E19" s="1087"/>
      <c r="F19" s="1087"/>
      <c r="G19" s="1087"/>
      <c r="H19" s="1087"/>
      <c r="I19" s="1087">
        <v>40</v>
      </c>
      <c r="J19" s="1087"/>
      <c r="K19" s="1087"/>
      <c r="L19" s="1087"/>
      <c r="M19" s="1087"/>
      <c r="N19" s="1087"/>
      <c r="O19" s="1087"/>
      <c r="P19" s="1087"/>
      <c r="Q19" s="1088">
        <f t="shared" si="0"/>
        <v>40</v>
      </c>
    </row>
    <row r="20" spans="1:17" ht="23.25" customHeight="1" x14ac:dyDescent="0.2">
      <c r="A20" s="1084">
        <f t="shared" si="1"/>
        <v>18</v>
      </c>
      <c r="B20" s="1085" t="s">
        <v>1312</v>
      </c>
      <c r="C20" s="1086"/>
      <c r="D20" s="1087"/>
      <c r="E20" s="1087"/>
      <c r="F20" s="1087"/>
      <c r="G20" s="1087"/>
      <c r="H20" s="1087"/>
      <c r="I20" s="1087">
        <v>550</v>
      </c>
      <c r="J20" s="1087"/>
      <c r="K20" s="1087"/>
      <c r="L20" s="1087"/>
      <c r="M20" s="1087"/>
      <c r="N20" s="1087"/>
      <c r="O20" s="1087"/>
      <c r="P20" s="1087"/>
      <c r="Q20" s="1088">
        <f t="shared" si="0"/>
        <v>550</v>
      </c>
    </row>
    <row r="21" spans="1:17" ht="23.25" customHeight="1" x14ac:dyDescent="0.2">
      <c r="A21" s="1084">
        <f t="shared" si="1"/>
        <v>19</v>
      </c>
      <c r="B21" s="1085" t="s">
        <v>1313</v>
      </c>
      <c r="C21" s="1086"/>
      <c r="D21" s="1087"/>
      <c r="E21" s="1087"/>
      <c r="F21" s="1087"/>
      <c r="G21" s="1087"/>
      <c r="H21" s="1087"/>
      <c r="I21" s="1087"/>
      <c r="J21" s="1087"/>
      <c r="K21" s="1087"/>
      <c r="L21" s="1087">
        <v>1200</v>
      </c>
      <c r="M21" s="1087"/>
      <c r="N21" s="1087"/>
      <c r="O21" s="1087"/>
      <c r="P21" s="1087"/>
      <c r="Q21" s="1088">
        <f t="shared" si="0"/>
        <v>1200</v>
      </c>
    </row>
    <row r="22" spans="1:17" ht="23.25" customHeight="1" x14ac:dyDescent="0.2">
      <c r="A22" s="1084">
        <f t="shared" si="1"/>
        <v>20</v>
      </c>
      <c r="B22" s="1085" t="s">
        <v>1314</v>
      </c>
      <c r="C22" s="1086"/>
      <c r="D22" s="1087"/>
      <c r="E22" s="1087"/>
      <c r="F22" s="1087">
        <v>53</v>
      </c>
      <c r="G22" s="1087">
        <v>898</v>
      </c>
      <c r="H22" s="1087"/>
      <c r="I22" s="1087"/>
      <c r="J22" s="1087"/>
      <c r="K22" s="1087"/>
      <c r="L22" s="1087"/>
      <c r="M22" s="1087">
        <v>1</v>
      </c>
      <c r="N22" s="1087"/>
      <c r="O22" s="1087"/>
      <c r="P22" s="1087"/>
      <c r="Q22" s="1088">
        <f t="shared" si="0"/>
        <v>952</v>
      </c>
    </row>
    <row r="23" spans="1:17" ht="23.25" customHeight="1" x14ac:dyDescent="0.2">
      <c r="A23" s="1084">
        <f t="shared" si="1"/>
        <v>21</v>
      </c>
      <c r="B23" s="1085" t="s">
        <v>1315</v>
      </c>
      <c r="C23" s="1086"/>
      <c r="D23" s="1087"/>
      <c r="E23" s="1087"/>
      <c r="F23" s="1087"/>
      <c r="G23" s="1087"/>
      <c r="H23" s="1087"/>
      <c r="I23" s="1087"/>
      <c r="J23" s="1087">
        <v>1920</v>
      </c>
      <c r="K23" s="1087">
        <v>95</v>
      </c>
      <c r="L23" s="1087"/>
      <c r="M23" s="1087"/>
      <c r="N23" s="1087"/>
      <c r="O23" s="1087"/>
      <c r="P23" s="1087"/>
      <c r="Q23" s="1088">
        <f t="shared" si="0"/>
        <v>2015</v>
      </c>
    </row>
    <row r="24" spans="1:17" ht="23.25" customHeight="1" x14ac:dyDescent="0.2">
      <c r="A24" s="1084">
        <f t="shared" si="1"/>
        <v>22</v>
      </c>
      <c r="B24" s="1085" t="s">
        <v>1316</v>
      </c>
      <c r="C24" s="1086"/>
      <c r="D24" s="1087"/>
      <c r="E24" s="1087"/>
      <c r="F24" s="1087"/>
      <c r="G24" s="1087"/>
      <c r="H24" s="1087"/>
      <c r="I24" s="1087">
        <v>1194</v>
      </c>
      <c r="J24" s="1087"/>
      <c r="K24" s="1087">
        <v>201</v>
      </c>
      <c r="L24" s="1087"/>
      <c r="M24" s="1087"/>
      <c r="N24" s="1087"/>
      <c r="O24" s="1087"/>
      <c r="P24" s="1087"/>
      <c r="Q24" s="1088">
        <f t="shared" si="0"/>
        <v>1395</v>
      </c>
    </row>
    <row r="25" spans="1:17" ht="23.25" customHeight="1" x14ac:dyDescent="0.2">
      <c r="A25" s="1084">
        <f t="shared" si="1"/>
        <v>23</v>
      </c>
      <c r="B25" s="1085" t="s">
        <v>1317</v>
      </c>
      <c r="C25" s="1086"/>
      <c r="D25" s="1087">
        <v>4</v>
      </c>
      <c r="E25" s="1087"/>
      <c r="F25" s="1087"/>
      <c r="G25" s="1087"/>
      <c r="H25" s="1087"/>
      <c r="I25" s="1087"/>
      <c r="J25" s="1087"/>
      <c r="K25" s="1087">
        <v>2</v>
      </c>
      <c r="L25" s="1087"/>
      <c r="M25" s="1087">
        <v>2</v>
      </c>
      <c r="N25" s="1087"/>
      <c r="O25" s="1087"/>
      <c r="P25" s="1087"/>
      <c r="Q25" s="1088">
        <f t="shared" si="0"/>
        <v>8</v>
      </c>
    </row>
    <row r="26" spans="1:17" ht="23.25" customHeight="1" x14ac:dyDescent="0.2">
      <c r="A26" s="1084">
        <f t="shared" si="1"/>
        <v>24</v>
      </c>
      <c r="B26" s="1085" t="s">
        <v>1318</v>
      </c>
      <c r="C26" s="1086"/>
      <c r="D26" s="1087"/>
      <c r="E26" s="1087"/>
      <c r="F26" s="1087"/>
      <c r="G26" s="1087"/>
      <c r="H26" s="1087"/>
      <c r="I26" s="1087">
        <v>714</v>
      </c>
      <c r="J26" s="1087"/>
      <c r="K26" s="1087"/>
      <c r="L26" s="1087"/>
      <c r="M26" s="1087"/>
      <c r="N26" s="1087"/>
      <c r="O26" s="1087"/>
      <c r="P26" s="1087"/>
      <c r="Q26" s="1088">
        <f t="shared" si="0"/>
        <v>714</v>
      </c>
    </row>
    <row r="27" spans="1:17" ht="23.25" customHeight="1" x14ac:dyDescent="0.2">
      <c r="A27" s="1084">
        <f t="shared" si="1"/>
        <v>25</v>
      </c>
      <c r="B27" s="1085" t="s">
        <v>1319</v>
      </c>
      <c r="C27" s="1086"/>
      <c r="D27" s="1087"/>
      <c r="E27" s="1087"/>
      <c r="F27" s="1087"/>
      <c r="G27" s="1087"/>
      <c r="H27" s="1087"/>
      <c r="I27" s="1087">
        <v>313</v>
      </c>
      <c r="J27" s="1087"/>
      <c r="K27" s="1087">
        <v>407</v>
      </c>
      <c r="L27" s="1087">
        <v>731</v>
      </c>
      <c r="M27" s="1087">
        <v>145</v>
      </c>
      <c r="N27" s="1087"/>
      <c r="O27" s="1087"/>
      <c r="P27" s="1087"/>
      <c r="Q27" s="1088">
        <f t="shared" si="0"/>
        <v>1596</v>
      </c>
    </row>
    <row r="28" spans="1:17" ht="23.25" customHeight="1" x14ac:dyDescent="0.2">
      <c r="A28" s="1084">
        <f t="shared" si="1"/>
        <v>26</v>
      </c>
      <c r="B28" s="1085" t="s">
        <v>1320</v>
      </c>
      <c r="C28" s="1086"/>
      <c r="D28" s="1087"/>
      <c r="E28" s="1087"/>
      <c r="F28" s="1087"/>
      <c r="G28" s="1087">
        <v>34</v>
      </c>
      <c r="H28" s="1087"/>
      <c r="I28" s="1087">
        <v>502</v>
      </c>
      <c r="J28" s="1087"/>
      <c r="K28" s="1087"/>
      <c r="L28" s="1087"/>
      <c r="M28" s="1087">
        <v>1</v>
      </c>
      <c r="N28" s="1087"/>
      <c r="O28" s="1087"/>
      <c r="P28" s="1087"/>
      <c r="Q28" s="1088">
        <f t="shared" si="0"/>
        <v>537</v>
      </c>
    </row>
    <row r="29" spans="1:17" ht="23.25" customHeight="1" x14ac:dyDescent="0.2">
      <c r="A29" s="1084">
        <f t="shared" si="1"/>
        <v>27</v>
      </c>
      <c r="B29" s="1085" t="s">
        <v>1321</v>
      </c>
      <c r="C29" s="1086"/>
      <c r="D29" s="1087"/>
      <c r="E29" s="1087"/>
      <c r="F29" s="1087"/>
      <c r="G29" s="1087"/>
      <c r="H29" s="1087"/>
      <c r="I29" s="1087">
        <v>461</v>
      </c>
      <c r="J29" s="1087"/>
      <c r="K29" s="1087"/>
      <c r="L29" s="1087">
        <f>359+74</f>
        <v>433</v>
      </c>
      <c r="M29" s="1087"/>
      <c r="N29" s="1087"/>
      <c r="O29" s="1087"/>
      <c r="P29" s="1087"/>
      <c r="Q29" s="1088">
        <f t="shared" si="0"/>
        <v>894</v>
      </c>
    </row>
    <row r="30" spans="1:17" ht="23.25" customHeight="1" x14ac:dyDescent="0.2">
      <c r="A30" s="1089">
        <f t="shared" si="1"/>
        <v>28</v>
      </c>
      <c r="B30" s="1085" t="s">
        <v>1322</v>
      </c>
      <c r="C30" s="1086"/>
      <c r="D30" s="1087">
        <v>401</v>
      </c>
      <c r="E30" s="1087"/>
      <c r="F30" s="1087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8">
        <f t="shared" si="0"/>
        <v>401</v>
      </c>
    </row>
    <row r="31" spans="1:17" ht="23.25" customHeight="1" x14ac:dyDescent="0.2">
      <c r="A31" s="1089">
        <v>30</v>
      </c>
      <c r="B31" s="1085" t="s">
        <v>1323</v>
      </c>
      <c r="C31" s="1086"/>
      <c r="D31" s="1087"/>
      <c r="E31" s="1087"/>
      <c r="F31" s="1087"/>
      <c r="G31" s="1087">
        <v>91</v>
      </c>
      <c r="H31" s="1087"/>
      <c r="I31" s="1087">
        <v>2002</v>
      </c>
      <c r="J31" s="1087"/>
      <c r="K31" s="1087"/>
      <c r="L31" s="1087">
        <v>639</v>
      </c>
      <c r="M31" s="1087"/>
      <c r="N31" s="1087"/>
      <c r="O31" s="1087"/>
      <c r="P31" s="1087"/>
      <c r="Q31" s="1088">
        <f t="shared" si="0"/>
        <v>2732</v>
      </c>
    </row>
    <row r="32" spans="1:17" ht="23.25" customHeight="1" x14ac:dyDescent="0.2">
      <c r="A32" s="1089">
        <f t="shared" si="1"/>
        <v>31</v>
      </c>
      <c r="B32" s="1090" t="s">
        <v>1324</v>
      </c>
      <c r="C32" s="1086"/>
      <c r="D32" s="1087"/>
      <c r="E32" s="1087"/>
      <c r="F32" s="1087"/>
      <c r="G32" s="1087"/>
      <c r="H32" s="1087"/>
      <c r="I32" s="1087">
        <v>10</v>
      </c>
      <c r="J32" s="1087"/>
      <c r="K32" s="1087"/>
      <c r="L32" s="1087">
        <v>1</v>
      </c>
      <c r="M32" s="1087"/>
      <c r="N32" s="1087"/>
      <c r="O32" s="1087"/>
      <c r="P32" s="1087"/>
      <c r="Q32" s="1088">
        <f t="shared" si="0"/>
        <v>11</v>
      </c>
    </row>
    <row r="33" spans="1:17" ht="23.25" customHeight="1" x14ac:dyDescent="0.2">
      <c r="A33" s="1089">
        <f t="shared" si="1"/>
        <v>32</v>
      </c>
      <c r="B33" s="1090" t="s">
        <v>1325</v>
      </c>
      <c r="C33" s="1086"/>
      <c r="D33" s="1087"/>
      <c r="E33" s="1087"/>
      <c r="F33" s="1087"/>
      <c r="G33" s="1087"/>
      <c r="H33" s="1087"/>
      <c r="I33" s="1087">
        <v>2</v>
      </c>
      <c r="J33" s="1087"/>
      <c r="K33" s="1087"/>
      <c r="L33" s="1087"/>
      <c r="M33" s="1087"/>
      <c r="N33" s="1087"/>
      <c r="O33" s="1087"/>
      <c r="P33" s="1087"/>
      <c r="Q33" s="1088">
        <f t="shared" si="0"/>
        <v>2</v>
      </c>
    </row>
    <row r="34" spans="1:17" ht="23.25" customHeight="1" x14ac:dyDescent="0.2">
      <c r="A34" s="1089">
        <f t="shared" si="1"/>
        <v>33</v>
      </c>
      <c r="B34" s="1090" t="s">
        <v>1326</v>
      </c>
      <c r="C34" s="1086"/>
      <c r="D34" s="1087"/>
      <c r="E34" s="1087"/>
      <c r="F34" s="1087"/>
      <c r="G34" s="1087"/>
      <c r="H34" s="1087"/>
      <c r="I34" s="1087">
        <v>1017</v>
      </c>
      <c r="J34" s="1087"/>
      <c r="K34" s="1087"/>
      <c r="L34" s="1087"/>
      <c r="M34" s="1087"/>
      <c r="N34" s="1087"/>
      <c r="O34" s="1087"/>
      <c r="P34" s="1087"/>
      <c r="Q34" s="1088">
        <f t="shared" si="0"/>
        <v>1017</v>
      </c>
    </row>
    <row r="35" spans="1:17" ht="23.25" customHeight="1" x14ac:dyDescent="0.2">
      <c r="A35" s="1089">
        <f t="shared" si="1"/>
        <v>34</v>
      </c>
      <c r="B35" s="1090" t="s">
        <v>1327</v>
      </c>
      <c r="C35" s="1086"/>
      <c r="D35" s="1087"/>
      <c r="E35" s="1087"/>
      <c r="F35" s="1087"/>
      <c r="G35" s="1087"/>
      <c r="H35" s="1087"/>
      <c r="I35" s="1087"/>
      <c r="J35" s="1087"/>
      <c r="K35" s="1087"/>
      <c r="L35" s="1087">
        <v>293</v>
      </c>
      <c r="M35" s="1087"/>
      <c r="N35" s="1087"/>
      <c r="O35" s="1087"/>
      <c r="P35" s="1087"/>
      <c r="Q35" s="1088">
        <f t="shared" si="0"/>
        <v>293</v>
      </c>
    </row>
    <row r="36" spans="1:17" ht="23.25" customHeight="1" x14ac:dyDescent="0.2">
      <c r="A36" s="1089">
        <f t="shared" si="1"/>
        <v>35</v>
      </c>
      <c r="B36" s="1090" t="s">
        <v>1328</v>
      </c>
      <c r="C36" s="1086"/>
      <c r="D36" s="1087"/>
      <c r="E36" s="1087"/>
      <c r="F36" s="1087"/>
      <c r="G36" s="1087"/>
      <c r="H36" s="1087"/>
      <c r="I36" s="1087"/>
      <c r="J36" s="1087"/>
      <c r="K36" s="1087">
        <v>155</v>
      </c>
      <c r="L36" s="1087"/>
      <c r="M36" s="1087">
        <v>106</v>
      </c>
      <c r="N36" s="1087"/>
      <c r="O36" s="1087"/>
      <c r="P36" s="1087">
        <v>84</v>
      </c>
      <c r="Q36" s="1088">
        <f t="shared" si="0"/>
        <v>345</v>
      </c>
    </row>
    <row r="37" spans="1:17" ht="26.25" x14ac:dyDescent="0.2">
      <c r="A37" s="1089">
        <f t="shared" si="1"/>
        <v>36</v>
      </c>
      <c r="B37" s="1090" t="s">
        <v>1329</v>
      </c>
      <c r="C37" s="1086"/>
      <c r="D37" s="1087"/>
      <c r="E37" s="1087"/>
      <c r="F37" s="1087"/>
      <c r="G37" s="1087">
        <v>263</v>
      </c>
      <c r="H37" s="1087"/>
      <c r="I37" s="1087">
        <v>51</v>
      </c>
      <c r="J37" s="1087"/>
      <c r="K37" s="1087">
        <v>52</v>
      </c>
      <c r="L37" s="1087"/>
      <c r="M37" s="1087"/>
      <c r="N37" s="1087"/>
      <c r="O37" s="1087"/>
      <c r="P37" s="1087"/>
      <c r="Q37" s="1088">
        <f t="shared" si="0"/>
        <v>366</v>
      </c>
    </row>
    <row r="38" spans="1:17" ht="26.25" x14ac:dyDescent="0.2">
      <c r="A38" s="1089">
        <f t="shared" si="1"/>
        <v>37</v>
      </c>
      <c r="B38" s="1090" t="s">
        <v>1330</v>
      </c>
      <c r="C38" s="1086"/>
      <c r="D38" s="1087"/>
      <c r="E38" s="1087"/>
      <c r="F38" s="1087"/>
      <c r="G38" s="1087"/>
      <c r="H38" s="1087"/>
      <c r="I38" s="1087"/>
      <c r="J38" s="1087"/>
      <c r="K38" s="1087">
        <v>200</v>
      </c>
      <c r="L38" s="1087"/>
      <c r="M38" s="1087">
        <v>100</v>
      </c>
      <c r="N38" s="1087"/>
      <c r="O38" s="1087"/>
      <c r="P38" s="1087"/>
      <c r="Q38" s="1088">
        <f t="shared" si="0"/>
        <v>300</v>
      </c>
    </row>
    <row r="39" spans="1:17" ht="26.25" x14ac:dyDescent="0.2">
      <c r="A39" s="1089">
        <f t="shared" si="1"/>
        <v>38</v>
      </c>
      <c r="B39" s="1090" t="s">
        <v>1331</v>
      </c>
      <c r="C39" s="1086"/>
      <c r="D39" s="1087"/>
      <c r="E39" s="1087"/>
      <c r="F39" s="1087"/>
      <c r="G39" s="1087"/>
      <c r="H39" s="1087"/>
      <c r="I39" s="1087"/>
      <c r="J39" s="1087"/>
      <c r="K39" s="1087">
        <v>293</v>
      </c>
      <c r="L39" s="1087"/>
      <c r="M39" s="1087">
        <v>290</v>
      </c>
      <c r="N39" s="1087"/>
      <c r="O39" s="1087"/>
      <c r="P39" s="1087">
        <v>147</v>
      </c>
      <c r="Q39" s="1088">
        <f t="shared" si="0"/>
        <v>730</v>
      </c>
    </row>
    <row r="40" spans="1:17" ht="26.25" x14ac:dyDescent="0.2">
      <c r="A40" s="1089">
        <f t="shared" si="1"/>
        <v>39</v>
      </c>
      <c r="B40" s="1090" t="s">
        <v>1332</v>
      </c>
      <c r="C40" s="1086"/>
      <c r="D40" s="1087">
        <v>10</v>
      </c>
      <c r="E40" s="1087"/>
      <c r="F40" s="1087"/>
      <c r="G40" s="1087"/>
      <c r="H40" s="1087"/>
      <c r="I40" s="1087"/>
      <c r="J40" s="1087"/>
      <c r="K40" s="1087">
        <v>65</v>
      </c>
      <c r="L40" s="1087"/>
      <c r="M40" s="1087"/>
      <c r="N40" s="1087"/>
      <c r="O40" s="1087"/>
      <c r="P40" s="1087"/>
      <c r="Q40" s="1088">
        <f t="shared" si="0"/>
        <v>75</v>
      </c>
    </row>
    <row r="41" spans="1:17" ht="26.25" x14ac:dyDescent="0.2">
      <c r="A41" s="1089">
        <f t="shared" si="1"/>
        <v>40</v>
      </c>
      <c r="B41" s="1090" t="s">
        <v>1333</v>
      </c>
      <c r="C41" s="1086"/>
      <c r="D41" s="1087"/>
      <c r="E41" s="1087"/>
      <c r="F41" s="1087"/>
      <c r="G41" s="1087"/>
      <c r="H41" s="1087"/>
      <c r="I41" s="1087"/>
      <c r="J41" s="1087"/>
      <c r="K41" s="1087"/>
      <c r="L41" s="1087">
        <v>100</v>
      </c>
      <c r="M41" s="1087"/>
      <c r="N41" s="1087"/>
      <c r="O41" s="1087"/>
      <c r="P41" s="1087"/>
      <c r="Q41" s="1088">
        <f t="shared" si="0"/>
        <v>100</v>
      </c>
    </row>
    <row r="42" spans="1:17" ht="26.25" x14ac:dyDescent="0.2">
      <c r="A42" s="1089">
        <f t="shared" si="1"/>
        <v>41</v>
      </c>
      <c r="B42" s="1090" t="s">
        <v>1334</v>
      </c>
      <c r="C42" s="1086"/>
      <c r="D42" s="1087"/>
      <c r="E42" s="1087"/>
      <c r="F42" s="1087"/>
      <c r="G42" s="1087"/>
      <c r="H42" s="1087"/>
      <c r="I42" s="1087">
        <v>479</v>
      </c>
      <c r="J42" s="1087"/>
      <c r="K42" s="1087"/>
      <c r="L42" s="1087"/>
      <c r="M42" s="1087"/>
      <c r="N42" s="1087"/>
      <c r="O42" s="1087"/>
      <c r="P42" s="1087"/>
      <c r="Q42" s="1088">
        <f t="shared" si="0"/>
        <v>479</v>
      </c>
    </row>
    <row r="43" spans="1:17" ht="26.25" x14ac:dyDescent="0.2">
      <c r="A43" s="1089">
        <f t="shared" si="1"/>
        <v>42</v>
      </c>
      <c r="B43" s="1090" t="s">
        <v>1335</v>
      </c>
      <c r="C43" s="1086"/>
      <c r="D43" s="1087"/>
      <c r="E43" s="1087"/>
      <c r="F43" s="1087"/>
      <c r="G43" s="1087"/>
      <c r="H43" s="1087"/>
      <c r="I43" s="1087">
        <v>380</v>
      </c>
      <c r="J43" s="1087"/>
      <c r="K43" s="1087"/>
      <c r="L43" s="1087"/>
      <c r="M43" s="1087"/>
      <c r="N43" s="1087"/>
      <c r="O43" s="1087"/>
      <c r="P43" s="1087"/>
      <c r="Q43" s="1088">
        <f t="shared" si="0"/>
        <v>380</v>
      </c>
    </row>
    <row r="44" spans="1:17" ht="26.25" customHeight="1" x14ac:dyDescent="0.2">
      <c r="A44" s="1089">
        <f t="shared" si="1"/>
        <v>43</v>
      </c>
      <c r="B44" s="1090" t="s">
        <v>1336</v>
      </c>
      <c r="C44" s="1091">
        <v>5</v>
      </c>
      <c r="D44" s="1087"/>
      <c r="E44" s="1087"/>
      <c r="F44" s="1087"/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8">
        <f t="shared" si="0"/>
        <v>5</v>
      </c>
    </row>
    <row r="45" spans="1:17" ht="26.25" x14ac:dyDescent="0.2">
      <c r="A45" s="1089">
        <v>44</v>
      </c>
      <c r="B45" s="1090" t="s">
        <v>1337</v>
      </c>
      <c r="C45" s="1086"/>
      <c r="D45" s="1087"/>
      <c r="E45" s="1087"/>
      <c r="F45" s="1087"/>
      <c r="G45" s="1087"/>
      <c r="H45" s="1087"/>
      <c r="I45" s="1087">
        <v>30</v>
      </c>
      <c r="J45" s="1087"/>
      <c r="K45" s="1087"/>
      <c r="L45" s="1087"/>
      <c r="M45" s="1087"/>
      <c r="N45" s="1087"/>
      <c r="O45" s="1087"/>
      <c r="P45" s="1087"/>
      <c r="Q45" s="1088">
        <f t="shared" si="0"/>
        <v>30</v>
      </c>
    </row>
    <row r="46" spans="1:17" ht="28.5" customHeight="1" x14ac:dyDescent="0.2">
      <c r="A46" s="1089">
        <f t="shared" si="1"/>
        <v>45</v>
      </c>
      <c r="B46" s="1090" t="s">
        <v>1338</v>
      </c>
      <c r="C46" s="1086"/>
      <c r="D46" s="1087"/>
      <c r="E46" s="1087"/>
      <c r="F46" s="1087"/>
      <c r="G46" s="1087"/>
      <c r="H46" s="1087"/>
      <c r="I46" s="1087">
        <v>612</v>
      </c>
      <c r="J46" s="1087"/>
      <c r="K46" s="1087"/>
      <c r="L46" s="1087"/>
      <c r="M46" s="1087"/>
      <c r="N46" s="1087"/>
      <c r="O46" s="1087"/>
      <c r="P46" s="1087"/>
      <c r="Q46" s="1088">
        <f t="shared" si="0"/>
        <v>612</v>
      </c>
    </row>
    <row r="47" spans="1:17" ht="26.25" x14ac:dyDescent="0.2">
      <c r="A47" s="1089">
        <v>46</v>
      </c>
      <c r="B47" s="1090" t="s">
        <v>1339</v>
      </c>
      <c r="C47" s="1086"/>
      <c r="D47" s="1087"/>
      <c r="E47" s="1087"/>
      <c r="F47" s="1087"/>
      <c r="G47" s="1087"/>
      <c r="H47" s="1087"/>
      <c r="I47" s="1087"/>
      <c r="J47" s="1087"/>
      <c r="K47" s="1087"/>
      <c r="L47" s="1087"/>
      <c r="M47" s="1087">
        <v>1</v>
      </c>
      <c r="N47" s="1087"/>
      <c r="O47" s="1087"/>
      <c r="P47" s="1087"/>
      <c r="Q47" s="1088">
        <f t="shared" si="0"/>
        <v>1</v>
      </c>
    </row>
    <row r="48" spans="1:17" ht="26.25" x14ac:dyDescent="0.2">
      <c r="A48" s="1089">
        <v>47</v>
      </c>
      <c r="B48" s="1090" t="s">
        <v>1340</v>
      </c>
      <c r="C48" s="1086"/>
      <c r="D48" s="1087"/>
      <c r="E48" s="1087"/>
      <c r="F48" s="1087"/>
      <c r="G48" s="1087"/>
      <c r="H48" s="1087"/>
      <c r="I48" s="1087"/>
      <c r="J48" s="1087"/>
      <c r="K48" s="1087">
        <v>68</v>
      </c>
      <c r="L48" s="1087"/>
      <c r="M48" s="1087"/>
      <c r="N48" s="1087"/>
      <c r="O48" s="1087"/>
      <c r="P48" s="1087"/>
      <c r="Q48" s="1088">
        <f t="shared" si="0"/>
        <v>68</v>
      </c>
    </row>
    <row r="49" spans="1:17" ht="27" thickBot="1" x14ac:dyDescent="0.25">
      <c r="A49" s="1089">
        <v>48</v>
      </c>
      <c r="B49" s="1090" t="s">
        <v>1341</v>
      </c>
      <c r="C49" s="1086"/>
      <c r="D49" s="1087"/>
      <c r="E49" s="1087"/>
      <c r="F49" s="1087"/>
      <c r="G49" s="1087"/>
      <c r="H49" s="1087"/>
      <c r="I49" s="1087"/>
      <c r="J49" s="1087"/>
      <c r="K49" s="1087"/>
      <c r="L49" s="1087"/>
      <c r="M49" s="1087">
        <v>12</v>
      </c>
      <c r="N49" s="1087"/>
      <c r="O49" s="1087"/>
      <c r="P49" s="1087"/>
      <c r="Q49" s="1088">
        <f t="shared" si="0"/>
        <v>12</v>
      </c>
    </row>
    <row r="50" spans="1:17" ht="27" customHeight="1" thickBot="1" x14ac:dyDescent="0.25">
      <c r="A50" s="3636" t="s">
        <v>66</v>
      </c>
      <c r="B50" s="3637"/>
      <c r="C50" s="1092">
        <f t="shared" ref="C50:P50" si="2">SUM(C3:C48)</f>
        <v>5</v>
      </c>
      <c r="D50" s="1092">
        <f t="shared" si="2"/>
        <v>1206</v>
      </c>
      <c r="E50" s="1092">
        <f t="shared" si="2"/>
        <v>0</v>
      </c>
      <c r="F50" s="1092">
        <f t="shared" si="2"/>
        <v>133</v>
      </c>
      <c r="G50" s="1092">
        <f t="shared" si="2"/>
        <v>1934</v>
      </c>
      <c r="H50" s="1092">
        <f t="shared" si="2"/>
        <v>0</v>
      </c>
      <c r="I50" s="1092">
        <f t="shared" si="2"/>
        <v>13818</v>
      </c>
      <c r="J50" s="1092">
        <f t="shared" si="2"/>
        <v>1920</v>
      </c>
      <c r="K50" s="1092">
        <f t="shared" si="2"/>
        <v>3335</v>
      </c>
      <c r="L50" s="1092">
        <f t="shared" si="2"/>
        <v>3751</v>
      </c>
      <c r="M50" s="1092">
        <f t="shared" si="2"/>
        <v>1660</v>
      </c>
      <c r="N50" s="1092">
        <f t="shared" si="2"/>
        <v>149</v>
      </c>
      <c r="O50" s="1092">
        <f t="shared" si="2"/>
        <v>990</v>
      </c>
      <c r="P50" s="1092">
        <f t="shared" si="2"/>
        <v>231</v>
      </c>
      <c r="Q50" s="1092">
        <f>SUM(Q3:Q49)</f>
        <v>29144</v>
      </c>
    </row>
    <row r="51" spans="1:17" ht="24.75" x14ac:dyDescent="0.2">
      <c r="A51" s="1093" t="s">
        <v>1278</v>
      </c>
      <c r="B51" s="1093"/>
      <c r="C51" s="1093"/>
      <c r="D51" s="1094"/>
      <c r="E51" s="1094"/>
      <c r="F51" s="1094"/>
      <c r="G51" s="1094"/>
      <c r="H51" s="1094"/>
      <c r="I51" s="1094"/>
      <c r="J51" s="1094"/>
      <c r="K51" s="1094"/>
      <c r="L51" s="1094"/>
      <c r="M51" s="1094"/>
      <c r="N51" s="1094"/>
      <c r="O51" s="1094"/>
      <c r="P51" s="1094"/>
      <c r="Q51" s="1094"/>
    </row>
    <row r="52" spans="1:17" x14ac:dyDescent="0.2">
      <c r="Q52" s="1096"/>
    </row>
    <row r="66" ht="25.5" customHeight="1" x14ac:dyDescent="0.2"/>
    <row r="68" ht="25.5" customHeight="1" x14ac:dyDescent="0.2"/>
    <row r="71" ht="25.5" customHeight="1" x14ac:dyDescent="0.2"/>
  </sheetData>
  <mergeCells count="2">
    <mergeCell ref="A1:Q1"/>
    <mergeCell ref="A50:B50"/>
  </mergeCells>
  <printOptions horizontalCentered="1" verticalCentered="1"/>
  <pageMargins left="0" right="0" top="0" bottom="0" header="0.31496062992125984" footer="0.31496062992125984"/>
  <pageSetup paperSize="9" scale="4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tabColor rgb="FF92D050"/>
  </sheetPr>
  <dimension ref="A1:T18"/>
  <sheetViews>
    <sheetView rightToLeft="1" workbookViewId="0">
      <selection activeCell="H10" sqref="H10"/>
    </sheetView>
  </sheetViews>
  <sheetFormatPr defaultColWidth="8" defaultRowHeight="15.75" x14ac:dyDescent="0.4"/>
  <cols>
    <col min="1" max="2" width="8" style="141"/>
    <col min="3" max="3" width="11.375" style="141" customWidth="1"/>
    <col min="4" max="8" width="8" style="141"/>
    <col min="9" max="9" width="5.875" style="141" customWidth="1"/>
    <col min="10" max="12" width="8" style="141" hidden="1" customWidth="1"/>
    <col min="13" max="15" width="8" style="141"/>
    <col min="16" max="16" width="6.75" style="141" customWidth="1"/>
    <col min="17" max="17" width="7.75" style="141" customWidth="1"/>
    <col min="18" max="18" width="15.875" style="141" customWidth="1"/>
    <col min="19" max="16384" width="8" style="141"/>
  </cols>
  <sheetData>
    <row r="1" spans="1:20" ht="24.75" thickBot="1" x14ac:dyDescent="0.45">
      <c r="A1" s="2764" t="s">
        <v>1829</v>
      </c>
      <c r="B1" s="2764"/>
      <c r="C1" s="2764"/>
      <c r="D1" s="2764"/>
      <c r="E1" s="2764"/>
      <c r="F1" s="2764"/>
      <c r="G1" s="2764"/>
      <c r="H1" s="2764"/>
      <c r="I1" s="2764"/>
      <c r="J1" s="2764"/>
      <c r="K1" s="2764"/>
      <c r="L1" s="2764"/>
      <c r="M1" s="2764"/>
      <c r="N1" s="2764"/>
      <c r="O1" s="2764"/>
      <c r="P1" s="2764"/>
      <c r="Q1" s="2764"/>
      <c r="R1" s="2764"/>
      <c r="S1" s="2764"/>
    </row>
    <row r="2" spans="1:20" s="686" customFormat="1" ht="21" thickBot="1" x14ac:dyDescent="0.25">
      <c r="B2" s="3649" t="s">
        <v>1830</v>
      </c>
      <c r="C2" s="3650"/>
      <c r="D2" s="3650"/>
      <c r="E2" s="3650"/>
      <c r="F2" s="3650"/>
      <c r="G2" s="3650"/>
      <c r="H2" s="3650"/>
      <c r="I2" s="3650"/>
      <c r="J2" s="3650"/>
      <c r="K2" s="3650"/>
      <c r="L2" s="3650"/>
      <c r="M2" s="3650"/>
      <c r="N2" s="3650"/>
      <c r="O2" s="3650"/>
      <c r="P2" s="3650"/>
      <c r="Q2" s="3650"/>
      <c r="R2" s="3650"/>
      <c r="S2" s="3650"/>
      <c r="T2" s="3651"/>
    </row>
    <row r="3" spans="1:20" s="686" customFormat="1" ht="23.25" thickBot="1" x14ac:dyDescent="0.25">
      <c r="B3" s="3652" t="s">
        <v>190</v>
      </c>
      <c r="C3" s="3655" t="s">
        <v>1125</v>
      </c>
      <c r="D3" s="3658" t="s">
        <v>1831</v>
      </c>
      <c r="E3" s="3659"/>
      <c r="F3" s="3659"/>
      <c r="G3" s="3659"/>
      <c r="H3" s="3660" t="s">
        <v>170</v>
      </c>
      <c r="I3" s="3093" t="s">
        <v>1832</v>
      </c>
      <c r="J3" s="3094"/>
      <c r="K3" s="3094"/>
      <c r="L3" s="3094"/>
      <c r="M3" s="3094"/>
      <c r="N3" s="3094"/>
      <c r="O3" s="3094"/>
      <c r="P3" s="3094"/>
      <c r="Q3" s="3094"/>
      <c r="R3" s="3094"/>
      <c r="S3" s="3094"/>
      <c r="T3" s="3095"/>
    </row>
    <row r="4" spans="1:20" s="686" customFormat="1" ht="15.75" customHeight="1" thickTop="1" x14ac:dyDescent="0.2">
      <c r="B4" s="3653"/>
      <c r="C4" s="3656"/>
      <c r="D4" s="3666" t="s">
        <v>1778</v>
      </c>
      <c r="E4" s="3668" t="s">
        <v>1779</v>
      </c>
      <c r="F4" s="3670" t="s">
        <v>1780</v>
      </c>
      <c r="G4" s="3672" t="s">
        <v>1833</v>
      </c>
      <c r="H4" s="3661"/>
      <c r="I4" s="3096"/>
      <c r="J4" s="3097"/>
      <c r="K4" s="3097"/>
      <c r="L4" s="3097"/>
      <c r="M4" s="3097"/>
      <c r="N4" s="3097"/>
      <c r="O4" s="3097"/>
      <c r="P4" s="3097"/>
      <c r="Q4" s="3097"/>
      <c r="R4" s="3097"/>
      <c r="S4" s="3097"/>
      <c r="T4" s="3098"/>
    </row>
    <row r="5" spans="1:20" s="686" customFormat="1" ht="44.25" customHeight="1" thickBot="1" x14ac:dyDescent="0.25">
      <c r="B5" s="3654"/>
      <c r="C5" s="3657"/>
      <c r="D5" s="3667"/>
      <c r="E5" s="3669"/>
      <c r="F5" s="3671"/>
      <c r="G5" s="3673"/>
      <c r="H5" s="3662"/>
      <c r="I5" s="3663"/>
      <c r="J5" s="3664"/>
      <c r="K5" s="3664"/>
      <c r="L5" s="3664"/>
      <c r="M5" s="3664"/>
      <c r="N5" s="3664"/>
      <c r="O5" s="3664"/>
      <c r="P5" s="3664"/>
      <c r="Q5" s="3664"/>
      <c r="R5" s="3664"/>
      <c r="S5" s="3664"/>
      <c r="T5" s="3665"/>
    </row>
    <row r="6" spans="1:20" s="686" customFormat="1" ht="15.75" customHeight="1" thickBot="1" x14ac:dyDescent="0.25">
      <c r="B6" s="2225">
        <v>1</v>
      </c>
      <c r="C6" s="2226" t="s">
        <v>1765</v>
      </c>
      <c r="D6" s="1371">
        <v>7</v>
      </c>
      <c r="E6" s="1372">
        <v>5</v>
      </c>
      <c r="F6" s="1373">
        <v>1</v>
      </c>
      <c r="G6" s="1374" t="s">
        <v>25</v>
      </c>
      <c r="H6" s="1375">
        <f>SUM(D6:G6)</f>
        <v>13</v>
      </c>
      <c r="I6" s="3646" t="s">
        <v>1834</v>
      </c>
      <c r="J6" s="3647"/>
      <c r="K6" s="3647"/>
      <c r="L6" s="3647"/>
      <c r="M6" s="3647"/>
      <c r="N6" s="3647"/>
      <c r="O6" s="3647"/>
      <c r="P6" s="3647"/>
      <c r="Q6" s="3647"/>
      <c r="R6" s="3647"/>
      <c r="S6" s="3647"/>
      <c r="T6" s="3648"/>
    </row>
    <row r="7" spans="1:20" s="686" customFormat="1" ht="33" customHeight="1" thickBot="1" x14ac:dyDescent="0.25">
      <c r="B7" s="2225">
        <v>2</v>
      </c>
      <c r="C7" s="2226" t="s">
        <v>1764</v>
      </c>
      <c r="D7" s="1371">
        <v>5</v>
      </c>
      <c r="E7" s="1372">
        <v>12</v>
      </c>
      <c r="F7" s="1373">
        <v>1</v>
      </c>
      <c r="G7" s="1374" t="s">
        <v>25</v>
      </c>
      <c r="H7" s="1375">
        <f>SUM(D7:G7)</f>
        <v>18</v>
      </c>
      <c r="I7" s="3674" t="s">
        <v>1835</v>
      </c>
      <c r="J7" s="3675"/>
      <c r="K7" s="3675"/>
      <c r="L7" s="3675"/>
      <c r="M7" s="3675"/>
      <c r="N7" s="3675"/>
      <c r="O7" s="3675"/>
      <c r="P7" s="3675"/>
      <c r="Q7" s="3675"/>
      <c r="R7" s="3675"/>
      <c r="S7" s="3675"/>
      <c r="T7" s="3676"/>
    </row>
    <row r="8" spans="1:20" s="686" customFormat="1" ht="33" customHeight="1" thickBot="1" x14ac:dyDescent="0.25">
      <c r="B8" s="2225">
        <v>3</v>
      </c>
      <c r="C8" s="2226" t="s">
        <v>1763</v>
      </c>
      <c r="D8" s="1371">
        <v>1</v>
      </c>
      <c r="E8" s="1372">
        <v>6</v>
      </c>
      <c r="F8" s="1373" t="s">
        <v>25</v>
      </c>
      <c r="G8" s="1374" t="s">
        <v>25</v>
      </c>
      <c r="H8" s="1375">
        <f>SUM(D8:G8)</f>
        <v>7</v>
      </c>
      <c r="I8" s="3677" t="s">
        <v>1836</v>
      </c>
      <c r="J8" s="3678"/>
      <c r="K8" s="3678"/>
      <c r="L8" s="3678"/>
      <c r="M8" s="3678"/>
      <c r="N8" s="3678"/>
      <c r="O8" s="3678"/>
      <c r="P8" s="3678"/>
      <c r="Q8" s="3678"/>
      <c r="R8" s="3678"/>
      <c r="S8" s="3678"/>
      <c r="T8" s="3679"/>
    </row>
    <row r="9" spans="1:20" s="686" customFormat="1" ht="15.75" customHeight="1" thickBot="1" x14ac:dyDescent="0.25">
      <c r="B9" s="2225">
        <v>4</v>
      </c>
      <c r="C9" s="2226" t="s">
        <v>1837</v>
      </c>
      <c r="D9" s="1371">
        <v>2</v>
      </c>
      <c r="E9" s="1372">
        <v>10</v>
      </c>
      <c r="F9" s="1373" t="s">
        <v>25</v>
      </c>
      <c r="G9" s="1374" t="s">
        <v>25</v>
      </c>
      <c r="H9" s="1375">
        <f t="shared" ref="H9:H15" si="0">SUM(D9:G9)</f>
        <v>12</v>
      </c>
      <c r="I9" s="3646" t="s">
        <v>1838</v>
      </c>
      <c r="J9" s="3647"/>
      <c r="K9" s="3647"/>
      <c r="L9" s="3647"/>
      <c r="M9" s="3647"/>
      <c r="N9" s="3647"/>
      <c r="O9" s="3647"/>
      <c r="P9" s="3647"/>
      <c r="Q9" s="3647"/>
      <c r="R9" s="3647"/>
      <c r="S9" s="3647"/>
      <c r="T9" s="3648"/>
    </row>
    <row r="10" spans="1:20" s="686" customFormat="1" ht="15.75" customHeight="1" thickBot="1" x14ac:dyDescent="0.25">
      <c r="B10" s="2225">
        <v>5</v>
      </c>
      <c r="C10" s="2226" t="s">
        <v>1767</v>
      </c>
      <c r="D10" s="1371">
        <v>6</v>
      </c>
      <c r="E10" s="1372">
        <v>3</v>
      </c>
      <c r="F10" s="1373" t="s">
        <v>25</v>
      </c>
      <c r="G10" s="1374" t="s">
        <v>25</v>
      </c>
      <c r="H10" s="1375">
        <f t="shared" si="0"/>
        <v>9</v>
      </c>
      <c r="I10" s="3646" t="s">
        <v>1839</v>
      </c>
      <c r="J10" s="3647"/>
      <c r="K10" s="3647"/>
      <c r="L10" s="3647"/>
      <c r="M10" s="3647"/>
      <c r="N10" s="3647"/>
      <c r="O10" s="3647"/>
      <c r="P10" s="3647"/>
      <c r="Q10" s="3647"/>
      <c r="R10" s="3647"/>
      <c r="S10" s="3647"/>
      <c r="T10" s="3648"/>
    </row>
    <row r="11" spans="1:20" s="686" customFormat="1" ht="15.75" customHeight="1" thickBot="1" x14ac:dyDescent="0.25">
      <c r="B11" s="2225">
        <v>6</v>
      </c>
      <c r="C11" s="2226" t="s">
        <v>1840</v>
      </c>
      <c r="D11" s="1371">
        <v>1</v>
      </c>
      <c r="E11" s="1372" t="s">
        <v>25</v>
      </c>
      <c r="F11" s="1373" t="s">
        <v>25</v>
      </c>
      <c r="G11" s="1374" t="s">
        <v>25</v>
      </c>
      <c r="H11" s="1375">
        <f t="shared" si="0"/>
        <v>1</v>
      </c>
      <c r="I11" s="3646" t="s">
        <v>1841</v>
      </c>
      <c r="J11" s="3647"/>
      <c r="K11" s="3647"/>
      <c r="L11" s="3647"/>
      <c r="M11" s="3647"/>
      <c r="N11" s="3647"/>
      <c r="O11" s="3647"/>
      <c r="P11" s="3647"/>
      <c r="Q11" s="3647"/>
      <c r="R11" s="3647"/>
      <c r="S11" s="3647"/>
      <c r="T11" s="3648"/>
    </row>
    <row r="12" spans="1:20" s="686" customFormat="1" ht="15.75" customHeight="1" thickBot="1" x14ac:dyDescent="0.25">
      <c r="B12" s="2225">
        <v>8</v>
      </c>
      <c r="C12" s="2226" t="s">
        <v>1842</v>
      </c>
      <c r="D12" s="1371">
        <v>1</v>
      </c>
      <c r="E12" s="1372">
        <v>3</v>
      </c>
      <c r="F12" s="1373" t="s">
        <v>25</v>
      </c>
      <c r="G12" s="1374" t="s">
        <v>25</v>
      </c>
      <c r="H12" s="1375">
        <f t="shared" si="0"/>
        <v>4</v>
      </c>
      <c r="I12" s="3646" t="s">
        <v>1843</v>
      </c>
      <c r="J12" s="3647"/>
      <c r="K12" s="3647"/>
      <c r="L12" s="3647"/>
      <c r="M12" s="3647"/>
      <c r="N12" s="3647"/>
      <c r="O12" s="3647"/>
      <c r="P12" s="3647"/>
      <c r="Q12" s="3647"/>
      <c r="R12" s="3647"/>
      <c r="S12" s="3647"/>
      <c r="T12" s="3648"/>
    </row>
    <row r="13" spans="1:20" s="686" customFormat="1" ht="15.75" customHeight="1" thickBot="1" x14ac:dyDescent="0.25">
      <c r="B13" s="2225">
        <v>9</v>
      </c>
      <c r="C13" s="2226" t="s">
        <v>1844</v>
      </c>
      <c r="D13" s="1371">
        <v>1</v>
      </c>
      <c r="E13" s="1372" t="s">
        <v>25</v>
      </c>
      <c r="F13" s="1373" t="s">
        <v>25</v>
      </c>
      <c r="G13" s="1374" t="s">
        <v>25</v>
      </c>
      <c r="H13" s="1375">
        <f t="shared" si="0"/>
        <v>1</v>
      </c>
      <c r="I13" s="3646" t="s">
        <v>1845</v>
      </c>
      <c r="J13" s="3647"/>
      <c r="K13" s="3647"/>
      <c r="L13" s="3647"/>
      <c r="M13" s="3647"/>
      <c r="N13" s="3647"/>
      <c r="O13" s="3647"/>
      <c r="P13" s="3647"/>
      <c r="Q13" s="3647"/>
      <c r="R13" s="3647"/>
      <c r="S13" s="3647"/>
      <c r="T13" s="3648"/>
    </row>
    <row r="14" spans="1:20" s="686" customFormat="1" ht="15.75" customHeight="1" thickBot="1" x14ac:dyDescent="0.25">
      <c r="B14" s="2225">
        <v>10</v>
      </c>
      <c r="C14" s="2226" t="s">
        <v>1846</v>
      </c>
      <c r="D14" s="1371">
        <v>3</v>
      </c>
      <c r="E14" s="1372">
        <v>9</v>
      </c>
      <c r="F14" s="1373">
        <v>1</v>
      </c>
      <c r="G14" s="1374" t="s">
        <v>25</v>
      </c>
      <c r="H14" s="1375">
        <f t="shared" si="0"/>
        <v>13</v>
      </c>
      <c r="I14" s="3646" t="s">
        <v>1847</v>
      </c>
      <c r="J14" s="3647"/>
      <c r="K14" s="3647"/>
      <c r="L14" s="3647"/>
      <c r="M14" s="3647"/>
      <c r="N14" s="3647"/>
      <c r="O14" s="3647"/>
      <c r="P14" s="3647"/>
      <c r="Q14" s="3647"/>
      <c r="R14" s="3647"/>
      <c r="S14" s="3647"/>
      <c r="T14" s="3648"/>
    </row>
    <row r="15" spans="1:20" s="686" customFormat="1" ht="15.75" customHeight="1" thickBot="1" x14ac:dyDescent="0.25">
      <c r="B15" s="2225">
        <v>11</v>
      </c>
      <c r="C15" s="2226" t="s">
        <v>1770</v>
      </c>
      <c r="D15" s="1371" t="s">
        <v>25</v>
      </c>
      <c r="E15" s="1372">
        <v>2</v>
      </c>
      <c r="F15" s="1373" t="s">
        <v>25</v>
      </c>
      <c r="G15" s="1374" t="s">
        <v>25</v>
      </c>
      <c r="H15" s="1375">
        <f t="shared" si="0"/>
        <v>2</v>
      </c>
      <c r="I15" s="3646" t="s">
        <v>1848</v>
      </c>
      <c r="J15" s="3647"/>
      <c r="K15" s="3647"/>
      <c r="L15" s="3647"/>
      <c r="M15" s="3647"/>
      <c r="N15" s="3647"/>
      <c r="O15" s="3647"/>
      <c r="P15" s="3647"/>
      <c r="Q15" s="3647"/>
      <c r="R15" s="3647"/>
      <c r="S15" s="3647"/>
      <c r="T15" s="3648"/>
    </row>
    <row r="16" spans="1:20" s="686" customFormat="1" ht="15.75" customHeight="1" thickBot="1" x14ac:dyDescent="0.25">
      <c r="B16" s="2225">
        <v>12</v>
      </c>
      <c r="C16" s="2226" t="s">
        <v>1771</v>
      </c>
      <c r="D16" s="1371">
        <v>4</v>
      </c>
      <c r="E16" s="1372">
        <v>3</v>
      </c>
      <c r="F16" s="1373" t="s">
        <v>25</v>
      </c>
      <c r="G16" s="1374" t="s">
        <v>25</v>
      </c>
      <c r="H16" s="1375">
        <f>SUM(D16:G16)</f>
        <v>7</v>
      </c>
      <c r="I16" s="3646" t="s">
        <v>1849</v>
      </c>
      <c r="J16" s="3647"/>
      <c r="K16" s="3647"/>
      <c r="L16" s="3647"/>
      <c r="M16" s="3647"/>
      <c r="N16" s="3647"/>
      <c r="O16" s="3647"/>
      <c r="P16" s="3647"/>
      <c r="Q16" s="3647"/>
      <c r="R16" s="3647"/>
      <c r="S16" s="3647"/>
      <c r="T16" s="3648"/>
    </row>
    <row r="17" spans="2:20" s="686" customFormat="1" ht="15.75" customHeight="1" thickBot="1" x14ac:dyDescent="0.25">
      <c r="B17" s="2225">
        <v>13</v>
      </c>
      <c r="C17" s="2226" t="s">
        <v>1772</v>
      </c>
      <c r="D17" s="1371" t="s">
        <v>25</v>
      </c>
      <c r="E17" s="1372" t="s">
        <v>25</v>
      </c>
      <c r="F17" s="1373" t="s">
        <v>25</v>
      </c>
      <c r="G17" s="1374">
        <v>1</v>
      </c>
      <c r="H17" s="1375">
        <f>SUM(G17)</f>
        <v>1</v>
      </c>
      <c r="I17" s="3638" t="s">
        <v>1850</v>
      </c>
      <c r="J17" s="3638"/>
      <c r="K17" s="3638"/>
      <c r="L17" s="3638"/>
      <c r="M17" s="3638"/>
      <c r="N17" s="3638"/>
      <c r="O17" s="3638"/>
      <c r="P17" s="3638"/>
      <c r="Q17" s="3638"/>
      <c r="R17" s="3638"/>
      <c r="S17" s="3638"/>
      <c r="T17" s="3639"/>
    </row>
    <row r="18" spans="2:20" s="686" customFormat="1" ht="20.25" thickBot="1" x14ac:dyDescent="0.25">
      <c r="B18" s="3640" t="s">
        <v>66</v>
      </c>
      <c r="C18" s="3641"/>
      <c r="D18" s="3641"/>
      <c r="E18" s="3641"/>
      <c r="F18" s="3641"/>
      <c r="G18" s="3642"/>
      <c r="H18" s="2224">
        <f>SUM(H6:H17)</f>
        <v>88</v>
      </c>
      <c r="I18" s="3643"/>
      <c r="J18" s="3644"/>
      <c r="K18" s="3644"/>
      <c r="L18" s="3644"/>
      <c r="M18" s="3644"/>
      <c r="N18" s="3644"/>
      <c r="O18" s="3644"/>
      <c r="P18" s="3644"/>
      <c r="Q18" s="3644"/>
      <c r="R18" s="3644"/>
      <c r="S18" s="3644"/>
      <c r="T18" s="3645"/>
    </row>
  </sheetData>
  <mergeCells count="25">
    <mergeCell ref="I10:T10"/>
    <mergeCell ref="A1:S1"/>
    <mergeCell ref="B2:T2"/>
    <mergeCell ref="B3:B5"/>
    <mergeCell ref="C3:C5"/>
    <mergeCell ref="D3:G3"/>
    <mergeCell ref="H3:H5"/>
    <mergeCell ref="I3:T5"/>
    <mergeCell ref="D4:D5"/>
    <mergeCell ref="E4:E5"/>
    <mergeCell ref="F4:F5"/>
    <mergeCell ref="G4:G5"/>
    <mergeCell ref="I6:T6"/>
    <mergeCell ref="I7:T7"/>
    <mergeCell ref="I8:T8"/>
    <mergeCell ref="I9:T9"/>
    <mergeCell ref="I17:T17"/>
    <mergeCell ref="B18:G18"/>
    <mergeCell ref="I18:T18"/>
    <mergeCell ref="I11:T11"/>
    <mergeCell ref="I12:T12"/>
    <mergeCell ref="I13:T13"/>
    <mergeCell ref="I14:T14"/>
    <mergeCell ref="I15:T15"/>
    <mergeCell ref="I16:T16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5:AL98"/>
  <sheetViews>
    <sheetView rightToLeft="1" topLeftCell="Q4" zoomScaleNormal="100" workbookViewId="0">
      <selection activeCell="C20" sqref="C20"/>
    </sheetView>
  </sheetViews>
  <sheetFormatPr defaultColWidth="7" defaultRowHeight="15.75" x14ac:dyDescent="0.4"/>
  <cols>
    <col min="1" max="1" width="12" style="141" customWidth="1"/>
    <col min="2" max="4" width="14.875" style="141" customWidth="1"/>
    <col min="5" max="5" width="11.75" style="141" customWidth="1"/>
    <col min="6" max="6" width="15" style="141" customWidth="1"/>
    <col min="7" max="9" width="15.25" style="141" customWidth="1"/>
    <col min="10" max="10" width="12.25" style="141" customWidth="1"/>
    <col min="11" max="14" width="15" style="141" customWidth="1"/>
    <col min="15" max="15" width="11.25" style="141" customWidth="1"/>
    <col min="16" max="19" width="15" style="141" customWidth="1"/>
    <col min="20" max="20" width="11.25" style="141" customWidth="1"/>
    <col min="21" max="24" width="15" style="141" customWidth="1"/>
    <col min="25" max="25" width="11.25" style="141" customWidth="1"/>
    <col min="26" max="29" width="15" style="141" customWidth="1"/>
    <col min="30" max="30" width="11.25" style="141" customWidth="1"/>
    <col min="31" max="32" width="8.375" style="141" bestFit="1" customWidth="1"/>
    <col min="33" max="33" width="7" style="141"/>
    <col min="34" max="34" width="9.375" style="141" bestFit="1" customWidth="1"/>
    <col min="35" max="16384" width="7" style="141"/>
  </cols>
  <sheetData>
    <row r="15" spans="38:38" x14ac:dyDescent="0.4">
      <c r="AL15" s="141">
        <f>90*15000</f>
        <v>1350000</v>
      </c>
    </row>
    <row r="22" spans="1:34" s="282" customFormat="1" ht="26.25" customHeight="1" thickBot="1" x14ac:dyDescent="0.45">
      <c r="A22" s="2792" t="s">
        <v>436</v>
      </c>
      <c r="B22" s="2792"/>
      <c r="C22" s="2792"/>
      <c r="D22" s="2792"/>
      <c r="E22" s="2792"/>
      <c r="F22" s="2792" t="s">
        <v>437</v>
      </c>
      <c r="G22" s="2792"/>
      <c r="H22" s="2792"/>
      <c r="I22" s="2792"/>
      <c r="J22" s="2792"/>
      <c r="K22" s="2792" t="s">
        <v>438</v>
      </c>
      <c r="L22" s="2792"/>
      <c r="M22" s="2792"/>
      <c r="N22" s="2792"/>
      <c r="O22" s="2792"/>
      <c r="P22" s="2792" t="s">
        <v>439</v>
      </c>
      <c r="Q22" s="2792"/>
      <c r="R22" s="2792"/>
      <c r="S22" s="2792"/>
      <c r="T22" s="2792"/>
      <c r="U22" s="2792" t="s">
        <v>440</v>
      </c>
      <c r="V22" s="2792"/>
      <c r="W22" s="2792"/>
      <c r="X22" s="2792"/>
      <c r="Y22" s="2792"/>
      <c r="Z22" s="2792" t="s">
        <v>441</v>
      </c>
      <c r="AA22" s="2792"/>
      <c r="AB22" s="2792"/>
      <c r="AC22" s="2792"/>
      <c r="AD22" s="2792"/>
    </row>
    <row r="23" spans="1:34" x14ac:dyDescent="0.4">
      <c r="A23" s="2787" t="s">
        <v>118</v>
      </c>
      <c r="B23" s="2765" t="s">
        <v>38</v>
      </c>
      <c r="C23" s="2770"/>
      <c r="D23" s="2789" t="s">
        <v>442</v>
      </c>
      <c r="E23" s="2770" t="s">
        <v>406</v>
      </c>
      <c r="F23" s="2787" t="s">
        <v>118</v>
      </c>
      <c r="G23" s="2765" t="s">
        <v>38</v>
      </c>
      <c r="H23" s="2770"/>
      <c r="I23" s="2789" t="s">
        <v>442</v>
      </c>
      <c r="J23" s="2770" t="s">
        <v>406</v>
      </c>
      <c r="K23" s="2787" t="s">
        <v>118</v>
      </c>
      <c r="L23" s="2765" t="s">
        <v>38</v>
      </c>
      <c r="M23" s="2770"/>
      <c r="N23" s="2789" t="s">
        <v>442</v>
      </c>
      <c r="O23" s="2770" t="s">
        <v>406</v>
      </c>
      <c r="P23" s="2787" t="s">
        <v>118</v>
      </c>
      <c r="Q23" s="2765" t="s">
        <v>38</v>
      </c>
      <c r="R23" s="2766"/>
      <c r="S23" s="2765" t="s">
        <v>442</v>
      </c>
      <c r="T23" s="2770" t="s">
        <v>406</v>
      </c>
      <c r="U23" s="2787" t="s">
        <v>118</v>
      </c>
      <c r="V23" s="2765" t="s">
        <v>38</v>
      </c>
      <c r="W23" s="2770"/>
      <c r="X23" s="2789" t="s">
        <v>442</v>
      </c>
      <c r="Y23" s="2770" t="s">
        <v>406</v>
      </c>
      <c r="Z23" s="2787" t="s">
        <v>118</v>
      </c>
      <c r="AA23" s="2765" t="s">
        <v>38</v>
      </c>
      <c r="AB23" s="2770"/>
      <c r="AC23" s="2765" t="s">
        <v>442</v>
      </c>
      <c r="AD23" s="2770" t="s">
        <v>406</v>
      </c>
    </row>
    <row r="24" spans="1:34" ht="16.5" thickBot="1" x14ac:dyDescent="0.45">
      <c r="A24" s="2788"/>
      <c r="B24" s="144">
        <v>1402</v>
      </c>
      <c r="C24" s="144">
        <v>1403</v>
      </c>
      <c r="D24" s="2790"/>
      <c r="E24" s="2791"/>
      <c r="F24" s="2788"/>
      <c r="G24" s="283">
        <v>1402</v>
      </c>
      <c r="H24" s="144">
        <v>1403</v>
      </c>
      <c r="I24" s="2790"/>
      <c r="J24" s="2791"/>
      <c r="K24" s="2788"/>
      <c r="L24" s="144">
        <v>1402</v>
      </c>
      <c r="M24" s="144">
        <v>1403</v>
      </c>
      <c r="N24" s="2790"/>
      <c r="O24" s="2791"/>
      <c r="P24" s="2788"/>
      <c r="Q24" s="283">
        <v>1402</v>
      </c>
      <c r="R24" s="283">
        <v>1403</v>
      </c>
      <c r="S24" s="2767"/>
      <c r="T24" s="2786"/>
      <c r="U24" s="2788"/>
      <c r="V24" s="144">
        <v>1402</v>
      </c>
      <c r="W24" s="144">
        <v>1403</v>
      </c>
      <c r="X24" s="2790"/>
      <c r="Y24" s="2791"/>
      <c r="Z24" s="2788"/>
      <c r="AA24" s="144">
        <v>1402</v>
      </c>
      <c r="AB24" s="144">
        <v>1403</v>
      </c>
      <c r="AC24" s="2767"/>
      <c r="AD24" s="2786"/>
    </row>
    <row r="25" spans="1:34" ht="18" x14ac:dyDescent="0.4">
      <c r="A25" s="284" t="s">
        <v>414</v>
      </c>
      <c r="B25" s="285">
        <v>0</v>
      </c>
      <c r="C25" s="285">
        <v>0</v>
      </c>
      <c r="D25" s="286">
        <f>C25-B25</f>
        <v>0</v>
      </c>
      <c r="E25" s="287" t="str">
        <f>IFERROR(C25/B25-1,"---")</f>
        <v>---</v>
      </c>
      <c r="F25" s="284" t="s">
        <v>414</v>
      </c>
      <c r="G25" s="288">
        <v>0</v>
      </c>
      <c r="H25" s="288">
        <v>0</v>
      </c>
      <c r="I25" s="286">
        <f t="shared" ref="I25:I37" si="0">H25-G25</f>
        <v>0</v>
      </c>
      <c r="J25" s="287" t="str">
        <f>IFERROR(H25/G25-1,"---")</f>
        <v>---</v>
      </c>
      <c r="K25" s="284" t="s">
        <v>414</v>
      </c>
      <c r="L25" s="289">
        <v>0</v>
      </c>
      <c r="M25" s="289">
        <v>0</v>
      </c>
      <c r="N25" s="290">
        <f t="shared" ref="N25:N34" si="1">M25-L25</f>
        <v>0</v>
      </c>
      <c r="O25" s="287" t="str">
        <f>IFERROR(M25/L25-1,"---")</f>
        <v>---</v>
      </c>
      <c r="P25" s="284" t="s">
        <v>414</v>
      </c>
      <c r="Q25" s="291">
        <v>0</v>
      </c>
      <c r="R25" s="291">
        <v>0</v>
      </c>
      <c r="S25" s="292">
        <f t="shared" ref="S25:S37" si="2">R25-Q25</f>
        <v>0</v>
      </c>
      <c r="T25" s="293" t="str">
        <f>IFERROR(R25/Q25-1,"---")</f>
        <v>---</v>
      </c>
      <c r="U25" s="284" t="s">
        <v>414</v>
      </c>
      <c r="V25" s="289">
        <v>0</v>
      </c>
      <c r="W25" s="289">
        <v>0</v>
      </c>
      <c r="X25" s="294">
        <f t="shared" ref="X25:X34" si="3">W25-V25</f>
        <v>0</v>
      </c>
      <c r="Y25" s="287" t="str">
        <f>IFERROR(W25/V25-1,"---")</f>
        <v>---</v>
      </c>
      <c r="Z25" s="284" t="s">
        <v>414</v>
      </c>
      <c r="AA25" s="295">
        <v>0</v>
      </c>
      <c r="AB25" s="295">
        <v>0</v>
      </c>
      <c r="AC25" s="296">
        <f t="shared" ref="AC25:AC37" si="4">AB25-AA25</f>
        <v>0</v>
      </c>
      <c r="AD25" s="293" t="str">
        <f>IFERROR(AB25/AA25-1,"---")</f>
        <v>---</v>
      </c>
    </row>
    <row r="26" spans="1:34" ht="18" x14ac:dyDescent="0.4">
      <c r="A26" s="297" t="s">
        <v>227</v>
      </c>
      <c r="B26" s="298">
        <v>395</v>
      </c>
      <c r="C26" s="298">
        <v>189</v>
      </c>
      <c r="D26" s="299">
        <f>C26-B26</f>
        <v>-206</v>
      </c>
      <c r="E26" s="300">
        <f>IFERROR(C26/B26-1,"---")</f>
        <v>-0.52151898734177216</v>
      </c>
      <c r="F26" s="297" t="s">
        <v>418</v>
      </c>
      <c r="G26" s="301">
        <v>0</v>
      </c>
      <c r="H26" s="301">
        <v>0</v>
      </c>
      <c r="I26" s="299">
        <f t="shared" si="0"/>
        <v>0</v>
      </c>
      <c r="J26" s="300" t="str">
        <f>IFERROR(H26/G26-1,"---")</f>
        <v>---</v>
      </c>
      <c r="K26" s="297" t="s">
        <v>227</v>
      </c>
      <c r="L26" s="302">
        <v>21370</v>
      </c>
      <c r="M26" s="302">
        <v>11780</v>
      </c>
      <c r="N26" s="303">
        <f t="shared" si="1"/>
        <v>-9590</v>
      </c>
      <c r="O26" s="300">
        <f t="shared" ref="O26:O34" si="5">IFERROR(M26/L26-1,"---")</f>
        <v>-0.44875994384651385</v>
      </c>
      <c r="P26" s="297" t="s">
        <v>418</v>
      </c>
      <c r="Q26" s="304">
        <v>0</v>
      </c>
      <c r="R26" s="304">
        <v>0</v>
      </c>
      <c r="S26" s="305">
        <f t="shared" si="2"/>
        <v>0</v>
      </c>
      <c r="T26" s="300" t="str">
        <f>IFERROR(R26/Q26-1,"---")</f>
        <v>---</v>
      </c>
      <c r="U26" s="297" t="s">
        <v>227</v>
      </c>
      <c r="V26" s="302">
        <v>3788147</v>
      </c>
      <c r="W26" s="302">
        <v>1780289</v>
      </c>
      <c r="X26" s="303">
        <f t="shared" si="3"/>
        <v>-2007858</v>
      </c>
      <c r="Y26" s="300">
        <f t="shared" ref="Y26:Y34" si="6">IFERROR(W26/V26-1,"---")</f>
        <v>-0.53003698114143938</v>
      </c>
      <c r="Z26" s="297" t="s">
        <v>418</v>
      </c>
      <c r="AA26" s="306">
        <v>0</v>
      </c>
      <c r="AB26" s="306">
        <v>0</v>
      </c>
      <c r="AC26" s="307">
        <f t="shared" si="4"/>
        <v>0</v>
      </c>
      <c r="AD26" s="300" t="str">
        <f>IFERROR(AB26/AA26-1,"---")</f>
        <v>---</v>
      </c>
    </row>
    <row r="27" spans="1:34" ht="18" x14ac:dyDescent="0.4">
      <c r="A27" s="308" t="s">
        <v>241</v>
      </c>
      <c r="B27" s="309">
        <v>1</v>
      </c>
      <c r="C27" s="309">
        <v>0</v>
      </c>
      <c r="D27" s="299">
        <f>C27-B27</f>
        <v>-1</v>
      </c>
      <c r="E27" s="300">
        <f>IFERROR(C27/B27-1,"---")</f>
        <v>-1</v>
      </c>
      <c r="F27" s="297" t="s">
        <v>227</v>
      </c>
      <c r="G27" s="310">
        <v>6287</v>
      </c>
      <c r="H27" s="310">
        <v>7049</v>
      </c>
      <c r="I27" s="299">
        <f t="shared" si="0"/>
        <v>762</v>
      </c>
      <c r="J27" s="300">
        <f t="shared" ref="J27:J37" si="7">IFERROR(H27/G27-1,"---")</f>
        <v>0.12120248131064093</v>
      </c>
      <c r="K27" s="308" t="s">
        <v>241</v>
      </c>
      <c r="L27" s="311">
        <v>55</v>
      </c>
      <c r="M27" s="311"/>
      <c r="N27" s="303">
        <f t="shared" si="1"/>
        <v>-55</v>
      </c>
      <c r="O27" s="300">
        <f t="shared" si="5"/>
        <v>-1</v>
      </c>
      <c r="P27" s="297" t="s">
        <v>227</v>
      </c>
      <c r="Q27" s="304">
        <v>395627</v>
      </c>
      <c r="R27" s="304">
        <v>447022</v>
      </c>
      <c r="S27" s="305">
        <f t="shared" si="2"/>
        <v>51395</v>
      </c>
      <c r="T27" s="300">
        <f t="shared" ref="T27:T37" si="8">IFERROR(R27/Q27-1,"---")</f>
        <v>0.12990771610633245</v>
      </c>
      <c r="U27" s="308" t="s">
        <v>241</v>
      </c>
      <c r="V27" s="311">
        <v>82669</v>
      </c>
      <c r="W27" s="311"/>
      <c r="X27" s="303">
        <f t="shared" si="3"/>
        <v>-82669</v>
      </c>
      <c r="Y27" s="300">
        <f t="shared" si="6"/>
        <v>-1</v>
      </c>
      <c r="Z27" s="297" t="s">
        <v>227</v>
      </c>
      <c r="AA27" s="312">
        <v>59838170</v>
      </c>
      <c r="AB27" s="312">
        <v>68011811</v>
      </c>
      <c r="AC27" s="307">
        <f t="shared" si="4"/>
        <v>8173641</v>
      </c>
      <c r="AD27" s="300">
        <f t="shared" ref="AD27:AD37" si="9">IFERROR(AB27/AA27-1,"---")</f>
        <v>0.1365957715618642</v>
      </c>
      <c r="AF27" s="150"/>
    </row>
    <row r="28" spans="1:34" ht="18" x14ac:dyDescent="0.4">
      <c r="A28" s="308" t="s">
        <v>253</v>
      </c>
      <c r="B28" s="309">
        <v>1435</v>
      </c>
      <c r="C28" s="309">
        <v>1129</v>
      </c>
      <c r="D28" s="299">
        <f t="shared" ref="D28:D34" si="10">C28-B28</f>
        <v>-306</v>
      </c>
      <c r="E28" s="300">
        <f t="shared" ref="E28:E34" si="11">IFERROR(C28/B28-1,"---")</f>
        <v>-0.21324041811846695</v>
      </c>
      <c r="F28" s="308" t="s">
        <v>241</v>
      </c>
      <c r="G28" s="313">
        <v>25</v>
      </c>
      <c r="H28" s="313">
        <v>57</v>
      </c>
      <c r="I28" s="299">
        <f t="shared" si="0"/>
        <v>32</v>
      </c>
      <c r="J28" s="300">
        <f t="shared" si="7"/>
        <v>1.2799999999999998</v>
      </c>
      <c r="K28" s="308" t="s">
        <v>253</v>
      </c>
      <c r="L28" s="311">
        <v>87740</v>
      </c>
      <c r="M28" s="311">
        <v>67470</v>
      </c>
      <c r="N28" s="303">
        <f t="shared" si="1"/>
        <v>-20270</v>
      </c>
      <c r="O28" s="300">
        <f t="shared" si="5"/>
        <v>-0.23102347845908366</v>
      </c>
      <c r="P28" s="308" t="s">
        <v>241</v>
      </c>
      <c r="Q28" s="314">
        <v>176</v>
      </c>
      <c r="R28" s="314">
        <v>448</v>
      </c>
      <c r="S28" s="305">
        <f t="shared" si="2"/>
        <v>272</v>
      </c>
      <c r="T28" s="300">
        <f t="shared" si="8"/>
        <v>1.5454545454545454</v>
      </c>
      <c r="U28" s="308" t="s">
        <v>253</v>
      </c>
      <c r="V28" s="311">
        <v>18258958</v>
      </c>
      <c r="W28" s="311">
        <v>15079807</v>
      </c>
      <c r="X28" s="303">
        <f t="shared" si="3"/>
        <v>-3179151</v>
      </c>
      <c r="Y28" s="300">
        <f t="shared" si="6"/>
        <v>-0.17411459076689917</v>
      </c>
      <c r="Z28" s="308" t="s">
        <v>241</v>
      </c>
      <c r="AA28" s="315">
        <v>279401</v>
      </c>
      <c r="AB28" s="315">
        <v>690825</v>
      </c>
      <c r="AC28" s="307">
        <f t="shared" si="4"/>
        <v>411424</v>
      </c>
      <c r="AD28" s="300">
        <f t="shared" si="9"/>
        <v>1.472521572936389</v>
      </c>
      <c r="AF28" s="150"/>
      <c r="AH28" s="141">
        <f>213*1700</f>
        <v>362100</v>
      </c>
    </row>
    <row r="29" spans="1:34" ht="18" x14ac:dyDescent="0.4">
      <c r="A29" s="308" t="s">
        <v>416</v>
      </c>
      <c r="B29" s="309">
        <v>3884</v>
      </c>
      <c r="C29" s="309">
        <v>4552</v>
      </c>
      <c r="D29" s="299">
        <f t="shared" si="10"/>
        <v>668</v>
      </c>
      <c r="E29" s="300">
        <f t="shared" si="11"/>
        <v>0.17198764160659108</v>
      </c>
      <c r="F29" s="308" t="s">
        <v>253</v>
      </c>
      <c r="G29" s="313">
        <v>16428</v>
      </c>
      <c r="H29" s="313">
        <v>17117</v>
      </c>
      <c r="I29" s="299">
        <f t="shared" si="0"/>
        <v>689</v>
      </c>
      <c r="J29" s="300">
        <f t="shared" si="7"/>
        <v>4.1940589237886572E-2</v>
      </c>
      <c r="K29" s="308" t="s">
        <v>416</v>
      </c>
      <c r="L29" s="311">
        <v>157321</v>
      </c>
      <c r="M29" s="311">
        <v>180722</v>
      </c>
      <c r="N29" s="303">
        <f t="shared" si="1"/>
        <v>23401</v>
      </c>
      <c r="O29" s="300">
        <f t="shared" si="5"/>
        <v>0.14874682973029674</v>
      </c>
      <c r="P29" s="308" t="s">
        <v>253</v>
      </c>
      <c r="Q29" s="316">
        <v>1044376</v>
      </c>
      <c r="R29" s="316">
        <v>1106408</v>
      </c>
      <c r="S29" s="305">
        <f t="shared" si="2"/>
        <v>62032</v>
      </c>
      <c r="T29" s="300">
        <f t="shared" si="8"/>
        <v>5.939623277440309E-2</v>
      </c>
      <c r="U29" s="308" t="s">
        <v>416</v>
      </c>
      <c r="V29" s="317">
        <v>115391448</v>
      </c>
      <c r="W29" s="317">
        <f>134456421+2</f>
        <v>134456423</v>
      </c>
      <c r="X29" s="303">
        <f t="shared" si="3"/>
        <v>19064975</v>
      </c>
      <c r="Y29" s="300">
        <f t="shared" si="6"/>
        <v>0.16521999966583323</v>
      </c>
      <c r="Z29" s="308" t="s">
        <v>253</v>
      </c>
      <c r="AA29" s="315">
        <v>241296165</v>
      </c>
      <c r="AB29" s="315">
        <v>251092238</v>
      </c>
      <c r="AC29" s="307">
        <f t="shared" si="4"/>
        <v>9796073</v>
      </c>
      <c r="AD29" s="300">
        <f t="shared" si="9"/>
        <v>4.0597715260000111E-2</v>
      </c>
      <c r="AF29" s="150"/>
      <c r="AH29" s="141">
        <v>246000</v>
      </c>
    </row>
    <row r="30" spans="1:34" ht="18" x14ac:dyDescent="0.4">
      <c r="A30" s="308" t="s">
        <v>390</v>
      </c>
      <c r="B30" s="309">
        <v>38</v>
      </c>
      <c r="C30" s="309">
        <v>71</v>
      </c>
      <c r="D30" s="299">
        <f t="shared" si="10"/>
        <v>33</v>
      </c>
      <c r="E30" s="300">
        <f t="shared" si="11"/>
        <v>0.86842105263157898</v>
      </c>
      <c r="F30" s="308" t="s">
        <v>416</v>
      </c>
      <c r="G30" s="313">
        <v>4068</v>
      </c>
      <c r="H30" s="313">
        <v>8809</v>
      </c>
      <c r="I30" s="299">
        <f t="shared" si="0"/>
        <v>4741</v>
      </c>
      <c r="J30" s="300">
        <f t="shared" si="7"/>
        <v>1.1654375614552608</v>
      </c>
      <c r="K30" s="318" t="s">
        <v>390</v>
      </c>
      <c r="L30" s="319">
        <v>874</v>
      </c>
      <c r="M30" s="319">
        <v>1633</v>
      </c>
      <c r="N30" s="303">
        <f t="shared" si="1"/>
        <v>759</v>
      </c>
      <c r="O30" s="300">
        <f t="shared" si="5"/>
        <v>0.86842105263157898</v>
      </c>
      <c r="P30" s="308" t="s">
        <v>416</v>
      </c>
      <c r="Q30" s="316">
        <v>176437</v>
      </c>
      <c r="R30" s="316">
        <v>402540</v>
      </c>
      <c r="S30" s="305">
        <f t="shared" si="2"/>
        <v>226103</v>
      </c>
      <c r="T30" s="300">
        <f t="shared" si="8"/>
        <v>1.2814942444045183</v>
      </c>
      <c r="U30" s="308" t="s">
        <v>390</v>
      </c>
      <c r="V30" s="317">
        <v>131100</v>
      </c>
      <c r="W30" s="317">
        <v>244950</v>
      </c>
      <c r="X30" s="303">
        <f t="shared" si="3"/>
        <v>113850</v>
      </c>
      <c r="Y30" s="300">
        <f t="shared" si="6"/>
        <v>0.86842105263157898</v>
      </c>
      <c r="Z30" s="308" t="s">
        <v>416</v>
      </c>
      <c r="AA30" s="315">
        <v>149182416</v>
      </c>
      <c r="AB30" s="315">
        <v>274675753</v>
      </c>
      <c r="AC30" s="307">
        <f t="shared" si="4"/>
        <v>125493337</v>
      </c>
      <c r="AD30" s="300">
        <f t="shared" si="9"/>
        <v>0.84120729751420575</v>
      </c>
      <c r="AE30" s="150"/>
      <c r="AH30" s="141">
        <f>SUM(AH28:AH29)</f>
        <v>608100</v>
      </c>
    </row>
    <row r="31" spans="1:34" ht="18" x14ac:dyDescent="0.4">
      <c r="A31" s="308" t="s">
        <v>443</v>
      </c>
      <c r="B31" s="309">
        <v>0</v>
      </c>
      <c r="C31" s="309">
        <v>0</v>
      </c>
      <c r="D31" s="299">
        <f t="shared" si="10"/>
        <v>0</v>
      </c>
      <c r="E31" s="300" t="str">
        <f t="shared" si="11"/>
        <v>---</v>
      </c>
      <c r="F31" s="308" t="s">
        <v>420</v>
      </c>
      <c r="G31" s="313">
        <v>1290</v>
      </c>
      <c r="H31" s="313">
        <v>901</v>
      </c>
      <c r="I31" s="299">
        <f t="shared" si="0"/>
        <v>-389</v>
      </c>
      <c r="J31" s="300">
        <f t="shared" si="7"/>
        <v>-0.30155038759689923</v>
      </c>
      <c r="K31" s="308" t="s">
        <v>444</v>
      </c>
      <c r="L31" s="311">
        <v>0</v>
      </c>
      <c r="M31" s="311">
        <v>0</v>
      </c>
      <c r="N31" s="320">
        <f t="shared" si="1"/>
        <v>0</v>
      </c>
      <c r="O31" s="300" t="str">
        <f t="shared" si="5"/>
        <v>---</v>
      </c>
      <c r="P31" s="308" t="s">
        <v>420</v>
      </c>
      <c r="Q31" s="316">
        <v>29822</v>
      </c>
      <c r="R31" s="316">
        <v>20723</v>
      </c>
      <c r="S31" s="305">
        <f t="shared" si="2"/>
        <v>-9099</v>
      </c>
      <c r="T31" s="300">
        <f t="shared" si="8"/>
        <v>-0.30511032123935344</v>
      </c>
      <c r="U31" s="308" t="s">
        <v>417</v>
      </c>
      <c r="V31" s="317">
        <v>0</v>
      </c>
      <c r="W31" s="317">
        <v>0</v>
      </c>
      <c r="X31" s="303">
        <f t="shared" si="3"/>
        <v>0</v>
      </c>
      <c r="Y31" s="300" t="str">
        <f t="shared" si="6"/>
        <v>---</v>
      </c>
      <c r="Z31" s="308" t="s">
        <v>420</v>
      </c>
      <c r="AA31" s="315">
        <v>4473300</v>
      </c>
      <c r="AB31" s="315">
        <v>3108450</v>
      </c>
      <c r="AC31" s="307">
        <f t="shared" si="4"/>
        <v>-1364850</v>
      </c>
      <c r="AD31" s="300">
        <f t="shared" si="9"/>
        <v>-0.30511032123935344</v>
      </c>
      <c r="AE31" s="150"/>
      <c r="AH31" s="150"/>
    </row>
    <row r="32" spans="1:34" ht="18" x14ac:dyDescent="0.4">
      <c r="A32" s="308" t="s">
        <v>367</v>
      </c>
      <c r="B32" s="321">
        <v>3953</v>
      </c>
      <c r="C32" s="321">
        <v>5125</v>
      </c>
      <c r="D32" s="299">
        <f t="shared" si="10"/>
        <v>1172</v>
      </c>
      <c r="E32" s="300">
        <f t="shared" si="11"/>
        <v>0.2964836832785227</v>
      </c>
      <c r="F32" s="308" t="s">
        <v>443</v>
      </c>
      <c r="G32" s="313">
        <v>0</v>
      </c>
      <c r="H32" s="313">
        <v>0</v>
      </c>
      <c r="I32" s="299">
        <f t="shared" si="0"/>
        <v>0</v>
      </c>
      <c r="J32" s="322" t="str">
        <f t="shared" si="7"/>
        <v>---</v>
      </c>
      <c r="K32" s="308" t="s">
        <v>367</v>
      </c>
      <c r="L32" s="311">
        <v>231925</v>
      </c>
      <c r="M32" s="311">
        <v>280390</v>
      </c>
      <c r="N32" s="303">
        <f t="shared" si="1"/>
        <v>48465</v>
      </c>
      <c r="O32" s="300">
        <f t="shared" si="5"/>
        <v>0.20896841651395914</v>
      </c>
      <c r="P32" s="308" t="s">
        <v>417</v>
      </c>
      <c r="Q32" s="316">
        <v>0</v>
      </c>
      <c r="R32" s="316">
        <v>0</v>
      </c>
      <c r="S32" s="305">
        <f t="shared" si="2"/>
        <v>0</v>
      </c>
      <c r="T32" s="300" t="str">
        <f t="shared" si="8"/>
        <v>---</v>
      </c>
      <c r="U32" s="308" t="s">
        <v>367</v>
      </c>
      <c r="V32" s="311">
        <v>34788750</v>
      </c>
      <c r="W32" s="311">
        <v>42058500</v>
      </c>
      <c r="X32" s="303">
        <f t="shared" si="3"/>
        <v>7269750</v>
      </c>
      <c r="Y32" s="300">
        <f t="shared" si="6"/>
        <v>0.20896841651395914</v>
      </c>
      <c r="Z32" s="308" t="s">
        <v>417</v>
      </c>
      <c r="AA32" s="315">
        <v>0</v>
      </c>
      <c r="AB32" s="315">
        <v>0</v>
      </c>
      <c r="AC32" s="307">
        <f t="shared" si="4"/>
        <v>0</v>
      </c>
      <c r="AD32" s="300" t="str">
        <f t="shared" si="9"/>
        <v>---</v>
      </c>
    </row>
    <row r="33" spans="1:30" ht="18.75" thickBot="1" x14ac:dyDescent="0.45">
      <c r="A33" s="323" t="s">
        <v>431</v>
      </c>
      <c r="B33" s="324">
        <v>0</v>
      </c>
      <c r="C33" s="324">
        <v>0</v>
      </c>
      <c r="D33" s="325">
        <f t="shared" si="10"/>
        <v>0</v>
      </c>
      <c r="E33" s="326" t="str">
        <f t="shared" si="11"/>
        <v>---</v>
      </c>
      <c r="F33" s="308" t="s">
        <v>419</v>
      </c>
      <c r="G33" s="313">
        <v>0</v>
      </c>
      <c r="H33" s="327">
        <v>0</v>
      </c>
      <c r="I33" s="299">
        <f t="shared" si="0"/>
        <v>0</v>
      </c>
      <c r="J33" s="322" t="str">
        <f t="shared" si="7"/>
        <v>---</v>
      </c>
      <c r="K33" s="308" t="s">
        <v>431</v>
      </c>
      <c r="L33" s="311">
        <v>0</v>
      </c>
      <c r="M33" s="311">
        <v>0</v>
      </c>
      <c r="N33" s="320">
        <f t="shared" si="1"/>
        <v>0</v>
      </c>
      <c r="O33" s="300" t="str">
        <f t="shared" si="5"/>
        <v>---</v>
      </c>
      <c r="P33" s="308" t="s">
        <v>419</v>
      </c>
      <c r="Q33" s="328">
        <v>0</v>
      </c>
      <c r="R33" s="328">
        <v>0</v>
      </c>
      <c r="S33" s="305">
        <f t="shared" si="2"/>
        <v>0</v>
      </c>
      <c r="T33" s="300" t="str">
        <f t="shared" si="8"/>
        <v>---</v>
      </c>
      <c r="U33" s="329" t="s">
        <v>431</v>
      </c>
      <c r="V33" s="330">
        <v>0</v>
      </c>
      <c r="W33" s="330">
        <v>0</v>
      </c>
      <c r="X33" s="303">
        <f t="shared" si="3"/>
        <v>0</v>
      </c>
      <c r="Y33" s="331" t="str">
        <f t="shared" si="6"/>
        <v>---</v>
      </c>
      <c r="Z33" s="308" t="s">
        <v>419</v>
      </c>
      <c r="AA33" s="332">
        <v>0</v>
      </c>
      <c r="AB33" s="332">
        <v>0</v>
      </c>
      <c r="AC33" s="307">
        <f t="shared" si="4"/>
        <v>0</v>
      </c>
      <c r="AD33" s="300" t="str">
        <f t="shared" si="9"/>
        <v>---</v>
      </c>
    </row>
    <row r="34" spans="1:30" ht="18.75" thickBot="1" x14ac:dyDescent="0.45">
      <c r="A34" s="333" t="s">
        <v>170</v>
      </c>
      <c r="B34" s="334">
        <f>SUM(B25:B33)</f>
        <v>9706</v>
      </c>
      <c r="C34" s="334">
        <f>SUM(C25:C33)</f>
        <v>11066</v>
      </c>
      <c r="D34" s="335">
        <f t="shared" si="10"/>
        <v>1360</v>
      </c>
      <c r="E34" s="336">
        <f t="shared" si="11"/>
        <v>0.14011951370286413</v>
      </c>
      <c r="F34" s="308" t="s">
        <v>367</v>
      </c>
      <c r="G34" s="337">
        <v>3469</v>
      </c>
      <c r="H34" s="313">
        <v>3119</v>
      </c>
      <c r="I34" s="299">
        <f t="shared" si="0"/>
        <v>-350</v>
      </c>
      <c r="J34" s="322">
        <f t="shared" si="7"/>
        <v>-0.10089362928797929</v>
      </c>
      <c r="K34" s="41" t="s">
        <v>170</v>
      </c>
      <c r="L34" s="338">
        <f>SUM(L25:L33)</f>
        <v>499285</v>
      </c>
      <c r="M34" s="339">
        <f>SUM(M25:M33)</f>
        <v>541995</v>
      </c>
      <c r="N34" s="340">
        <f t="shared" si="1"/>
        <v>42710</v>
      </c>
      <c r="O34" s="336">
        <f t="shared" si="5"/>
        <v>8.554232552550145E-2</v>
      </c>
      <c r="P34" s="308" t="s">
        <v>367</v>
      </c>
      <c r="Q34" s="316">
        <v>183589</v>
      </c>
      <c r="R34" s="316">
        <v>167422</v>
      </c>
      <c r="S34" s="305">
        <f t="shared" si="2"/>
        <v>-16167</v>
      </c>
      <c r="T34" s="300">
        <f t="shared" si="8"/>
        <v>-8.8060831531300843E-2</v>
      </c>
      <c r="U34" s="41" t="s">
        <v>170</v>
      </c>
      <c r="V34" s="341">
        <v>219200076</v>
      </c>
      <c r="W34" s="341">
        <f>SUM(W25:W33)</f>
        <v>193619969</v>
      </c>
      <c r="X34" s="342">
        <f t="shared" si="3"/>
        <v>-25580107</v>
      </c>
      <c r="Y34" s="336">
        <f t="shared" si="6"/>
        <v>-0.11669752796983524</v>
      </c>
      <c r="Z34" s="308" t="s">
        <v>367</v>
      </c>
      <c r="AA34" s="315">
        <v>27538350</v>
      </c>
      <c r="AB34" s="315">
        <v>25113300</v>
      </c>
      <c r="AC34" s="307">
        <f t="shared" si="4"/>
        <v>-2425050</v>
      </c>
      <c r="AD34" s="300">
        <f t="shared" si="9"/>
        <v>-8.8060831531300843E-2</v>
      </c>
    </row>
    <row r="35" spans="1:30" ht="18" x14ac:dyDescent="0.4">
      <c r="A35" s="2778" t="s">
        <v>445</v>
      </c>
      <c r="B35" s="2778"/>
      <c r="C35" s="2778"/>
      <c r="D35" s="2778"/>
      <c r="E35" s="2784"/>
      <c r="F35" s="323" t="s">
        <v>421</v>
      </c>
      <c r="G35" s="343">
        <v>160</v>
      </c>
      <c r="H35" s="344">
        <v>731</v>
      </c>
      <c r="I35" s="345">
        <f t="shared" si="0"/>
        <v>571</v>
      </c>
      <c r="J35" s="322">
        <f t="shared" si="7"/>
        <v>3.5687499999999996</v>
      </c>
      <c r="K35" s="2778" t="s">
        <v>445</v>
      </c>
      <c r="L35" s="2778"/>
      <c r="M35" s="2778"/>
      <c r="N35" s="2778"/>
      <c r="O35" s="2778"/>
      <c r="P35" s="323" t="s">
        <v>421</v>
      </c>
      <c r="Q35" s="346">
        <v>9757</v>
      </c>
      <c r="R35" s="346">
        <v>45713</v>
      </c>
      <c r="S35" s="292"/>
      <c r="T35" s="293"/>
      <c r="U35" s="2778" t="s">
        <v>445</v>
      </c>
      <c r="V35" s="2778"/>
      <c r="W35" s="2778"/>
      <c r="X35" s="2778"/>
      <c r="Y35" s="2778"/>
      <c r="Z35" s="323" t="s">
        <v>421</v>
      </c>
      <c r="AA35" s="347">
        <v>6992182</v>
      </c>
      <c r="AB35" s="347">
        <v>13031798</v>
      </c>
      <c r="AC35" s="348"/>
      <c r="AD35" s="293"/>
    </row>
    <row r="36" spans="1:30" ht="18.75" customHeight="1" thickBot="1" x14ac:dyDescent="0.45">
      <c r="A36" s="2695" t="s">
        <v>427</v>
      </c>
      <c r="B36" s="2695"/>
      <c r="C36" s="2695"/>
      <c r="D36" s="2695"/>
      <c r="E36" s="2785"/>
      <c r="F36" s="329" t="s">
        <v>422</v>
      </c>
      <c r="G36" s="343">
        <f>176-160</f>
        <v>16</v>
      </c>
      <c r="H36" s="344">
        <v>10</v>
      </c>
      <c r="I36" s="345">
        <f t="shared" si="0"/>
        <v>-6</v>
      </c>
      <c r="J36" s="322">
        <f t="shared" si="7"/>
        <v>-0.375</v>
      </c>
      <c r="K36" s="2695" t="s">
        <v>427</v>
      </c>
      <c r="L36" s="2695"/>
      <c r="M36" s="2695"/>
      <c r="N36" s="2695"/>
      <c r="O36" s="2785"/>
      <c r="P36" s="329" t="s">
        <v>422</v>
      </c>
      <c r="Q36" s="346">
        <f>10205-Q35</f>
        <v>448</v>
      </c>
      <c r="R36" s="346">
        <v>257</v>
      </c>
      <c r="S36" s="292">
        <f t="shared" si="2"/>
        <v>-191</v>
      </c>
      <c r="T36" s="293">
        <f>IFERROR(R36/Q36-1,"---")</f>
        <v>-0.4263392857142857</v>
      </c>
      <c r="U36" s="2695" t="s">
        <v>427</v>
      </c>
      <c r="V36" s="2695"/>
      <c r="W36" s="2695"/>
      <c r="X36" s="2695"/>
      <c r="Y36" s="2785"/>
      <c r="Z36" s="329" t="s">
        <v>422</v>
      </c>
      <c r="AA36" s="347">
        <f>7059382-AA35</f>
        <v>67200</v>
      </c>
      <c r="AB36" s="347">
        <v>74666</v>
      </c>
      <c r="AC36" s="348">
        <f t="shared" si="4"/>
        <v>7466</v>
      </c>
      <c r="AD36" s="293">
        <f>IFERROR(AB36/AA36-1,"---")</f>
        <v>0.11110119047619049</v>
      </c>
    </row>
    <row r="37" spans="1:30" ht="18.75" thickBot="1" x14ac:dyDescent="0.45">
      <c r="F37" s="41" t="s">
        <v>170</v>
      </c>
      <c r="G37" s="349">
        <f>SUM(G25:G36)</f>
        <v>31743</v>
      </c>
      <c r="H37" s="349">
        <f>SUM(H25:H36)</f>
        <v>37793</v>
      </c>
      <c r="I37" s="334">
        <f t="shared" si="0"/>
        <v>6050</v>
      </c>
      <c r="J37" s="336">
        <f t="shared" si="7"/>
        <v>0.19059320165075766</v>
      </c>
      <c r="P37" s="41" t="s">
        <v>170</v>
      </c>
      <c r="Q37" s="350">
        <f>SUM(Q25:Q36)</f>
        <v>1840232</v>
      </c>
      <c r="R37" s="351">
        <f>SUM(R25:R36)</f>
        <v>2190533</v>
      </c>
      <c r="S37" s="352">
        <f t="shared" si="2"/>
        <v>350301</v>
      </c>
      <c r="T37" s="336">
        <f t="shared" si="8"/>
        <v>0.19035697672902119</v>
      </c>
      <c r="Z37" s="41" t="s">
        <v>170</v>
      </c>
      <c r="AA37" s="353">
        <f>SUM(AA25:AA36)</f>
        <v>489667184</v>
      </c>
      <c r="AB37" s="354">
        <f>SUM(AB25:AB36)</f>
        <v>635798841</v>
      </c>
      <c r="AC37" s="355">
        <f t="shared" si="4"/>
        <v>146131657</v>
      </c>
      <c r="AD37" s="336">
        <f t="shared" si="9"/>
        <v>0.29843057034428511</v>
      </c>
    </row>
    <row r="38" spans="1:30" ht="27" customHeight="1" x14ac:dyDescent="0.4">
      <c r="C38" s="150">
        <f>+C34-'31'!H45</f>
        <v>0</v>
      </c>
      <c r="F38" s="2778" t="s">
        <v>445</v>
      </c>
      <c r="G38" s="2779"/>
      <c r="H38" s="2779"/>
      <c r="I38" s="2779"/>
      <c r="J38" s="2779"/>
      <c r="P38" s="2778" t="s">
        <v>445</v>
      </c>
      <c r="Q38" s="2779"/>
      <c r="R38" s="2779"/>
      <c r="S38" s="2779"/>
      <c r="T38" s="2779"/>
      <c r="V38" s="150"/>
      <c r="W38" s="150">
        <f>+W34-'31'!H47</f>
        <v>0</v>
      </c>
      <c r="X38" s="150"/>
      <c r="Y38" s="150"/>
      <c r="Z38" s="2778" t="s">
        <v>445</v>
      </c>
      <c r="AA38" s="2779"/>
      <c r="AB38" s="2779"/>
      <c r="AC38" s="2779"/>
      <c r="AD38" s="2779"/>
    </row>
    <row r="39" spans="1:30" ht="15.75" customHeight="1" x14ac:dyDescent="0.4">
      <c r="F39" s="2695" t="s">
        <v>427</v>
      </c>
      <c r="G39" s="2695"/>
      <c r="H39" s="2695"/>
      <c r="I39" s="2695"/>
      <c r="J39" s="2695"/>
      <c r="P39" s="2695" t="s">
        <v>427</v>
      </c>
      <c r="Q39" s="2695"/>
      <c r="R39" s="2695"/>
      <c r="S39" s="2695"/>
      <c r="T39" s="2695"/>
      <c r="Z39" s="2695" t="s">
        <v>427</v>
      </c>
      <c r="AA39" s="2695"/>
      <c r="AB39" s="2695"/>
      <c r="AC39" s="2695"/>
      <c r="AD39" s="2695"/>
    </row>
    <row r="40" spans="1:30" ht="18" customHeight="1" x14ac:dyDescent="0.4">
      <c r="R40" s="356" t="e">
        <f>+#REF!</f>
        <v>#REF!</v>
      </c>
      <c r="S40" s="356" t="e">
        <f>+#REF!</f>
        <v>#REF!</v>
      </c>
      <c r="Z40" s="150"/>
      <c r="AA40" s="150"/>
      <c r="AB40" s="150">
        <f>+AB37-'31'!H42</f>
        <v>0</v>
      </c>
    </row>
    <row r="41" spans="1:30" x14ac:dyDescent="0.4">
      <c r="AA41" s="150"/>
    </row>
    <row r="42" spans="1:30" x14ac:dyDescent="0.4">
      <c r="F42" s="357"/>
      <c r="G42" s="357"/>
      <c r="H42" s="357"/>
      <c r="I42" s="357"/>
      <c r="J42" s="357"/>
      <c r="U42" s="357" t="s">
        <v>446</v>
      </c>
      <c r="AA42" s="150"/>
    </row>
    <row r="43" spans="1:30" ht="18" x14ac:dyDescent="0.5">
      <c r="F43" s="2780" t="s">
        <v>427</v>
      </c>
      <c r="G43" s="2780"/>
      <c r="H43" s="2780"/>
      <c r="I43" s="2780"/>
      <c r="J43" s="2780"/>
      <c r="U43" s="358" t="s">
        <v>447</v>
      </c>
      <c r="V43" s="22"/>
      <c r="W43" s="22"/>
      <c r="X43" s="22"/>
      <c r="Y43" s="22"/>
      <c r="AA43" s="150"/>
    </row>
    <row r="44" spans="1:30" ht="18" x14ac:dyDescent="0.5">
      <c r="F44" s="2780"/>
      <c r="G44" s="2780"/>
      <c r="H44" s="2780"/>
      <c r="I44" s="2780"/>
      <c r="J44" s="2780"/>
      <c r="U44" s="2781" t="s">
        <v>448</v>
      </c>
      <c r="V44" s="2781"/>
      <c r="W44" s="2781"/>
      <c r="X44" s="2781"/>
      <c r="Y44" s="2781"/>
      <c r="Z44" s="22"/>
      <c r="AA44" s="22"/>
      <c r="AB44" s="22"/>
      <c r="AC44" s="22"/>
    </row>
    <row r="45" spans="1:30" ht="18" x14ac:dyDescent="0.5">
      <c r="F45" s="2780"/>
      <c r="G45" s="2780"/>
      <c r="H45" s="2780"/>
      <c r="I45" s="2780"/>
      <c r="J45" s="2780"/>
      <c r="U45" s="2782" t="s">
        <v>449</v>
      </c>
      <c r="V45" s="2782"/>
      <c r="W45" s="2782"/>
      <c r="X45" s="2782"/>
      <c r="Y45" s="2782"/>
      <c r="Z45" s="22"/>
      <c r="AA45" s="22"/>
      <c r="AB45" s="22"/>
      <c r="AC45" s="22"/>
    </row>
    <row r="46" spans="1:30" ht="16.5" customHeight="1" x14ac:dyDescent="0.5">
      <c r="U46" s="359" t="s">
        <v>450</v>
      </c>
      <c r="V46" s="360" t="s">
        <v>451</v>
      </c>
      <c r="W46" s="359" t="s">
        <v>452</v>
      </c>
      <c r="X46" s="361" t="s">
        <v>453</v>
      </c>
      <c r="Y46" s="361" t="s">
        <v>454</v>
      </c>
      <c r="Z46" s="22"/>
      <c r="AA46" s="22"/>
      <c r="AB46" s="22"/>
      <c r="AC46" s="22"/>
    </row>
    <row r="47" spans="1:30" ht="18" x14ac:dyDescent="0.5">
      <c r="U47" s="362" t="s">
        <v>455</v>
      </c>
      <c r="V47" s="362" t="s">
        <v>410</v>
      </c>
      <c r="W47" s="362" t="s">
        <v>218</v>
      </c>
      <c r="X47" s="362" t="s">
        <v>456</v>
      </c>
      <c r="Y47" s="362" t="s">
        <v>457</v>
      </c>
      <c r="Z47" s="22"/>
      <c r="AA47" s="22"/>
      <c r="AB47" s="22"/>
      <c r="AC47" s="22"/>
    </row>
    <row r="48" spans="1:30" ht="18" x14ac:dyDescent="0.4">
      <c r="S48" s="231">
        <f>SUM(S49:S55)</f>
        <v>0</v>
      </c>
      <c r="U48" s="363">
        <v>155502430</v>
      </c>
      <c r="V48" s="363">
        <v>200175</v>
      </c>
      <c r="W48" s="363">
        <v>5069</v>
      </c>
      <c r="X48" s="362" t="s">
        <v>458</v>
      </c>
      <c r="Y48" s="362" t="s">
        <v>459</v>
      </c>
      <c r="Z48" s="362" t="s">
        <v>222</v>
      </c>
      <c r="AA48" s="362" t="s">
        <v>221</v>
      </c>
      <c r="AB48" s="362" t="s">
        <v>460</v>
      </c>
      <c r="AC48" s="362" t="s">
        <v>190</v>
      </c>
    </row>
    <row r="49" spans="13:29" ht="18" x14ac:dyDescent="0.4">
      <c r="S49" s="364" t="s">
        <v>461</v>
      </c>
      <c r="T49" s="231" t="s">
        <v>461</v>
      </c>
      <c r="U49" s="363">
        <v>2008841651</v>
      </c>
      <c r="V49" s="363">
        <v>2070668</v>
      </c>
      <c r="W49" s="363">
        <v>36736</v>
      </c>
      <c r="X49" s="362" t="s">
        <v>458</v>
      </c>
      <c r="Y49" s="362" t="s">
        <v>459</v>
      </c>
      <c r="Z49" s="362" t="s">
        <v>459</v>
      </c>
      <c r="AA49" s="362" t="s">
        <v>459</v>
      </c>
      <c r="AB49" s="362" t="s">
        <v>201</v>
      </c>
      <c r="AC49" s="362">
        <v>1</v>
      </c>
    </row>
    <row r="50" spans="13:29" ht="18" x14ac:dyDescent="0.4">
      <c r="S50" s="364" t="s">
        <v>462</v>
      </c>
      <c r="T50" s="231" t="s">
        <v>462</v>
      </c>
      <c r="U50" s="363">
        <v>33857722</v>
      </c>
      <c r="V50" s="363">
        <v>137301</v>
      </c>
      <c r="W50" s="363">
        <v>2442</v>
      </c>
      <c r="X50" s="362" t="s">
        <v>458</v>
      </c>
      <c r="Y50" s="362" t="s">
        <v>459</v>
      </c>
      <c r="Z50" s="362" t="s">
        <v>459</v>
      </c>
      <c r="AA50" s="362" t="s">
        <v>459</v>
      </c>
      <c r="AB50" s="362" t="s">
        <v>107</v>
      </c>
      <c r="AC50" s="362">
        <v>2</v>
      </c>
    </row>
    <row r="51" spans="13:29" ht="18" x14ac:dyDescent="0.4">
      <c r="S51" s="364" t="s">
        <v>463</v>
      </c>
      <c r="T51" s="231" t="s">
        <v>463</v>
      </c>
      <c r="U51" s="363">
        <v>21225715</v>
      </c>
      <c r="V51" s="363">
        <v>25300</v>
      </c>
      <c r="W51" s="362">
        <v>485</v>
      </c>
      <c r="X51" s="362" t="s">
        <v>458</v>
      </c>
      <c r="Y51" s="362" t="s">
        <v>459</v>
      </c>
      <c r="Z51" s="362" t="s">
        <v>459</v>
      </c>
      <c r="AA51" s="362" t="s">
        <v>459</v>
      </c>
      <c r="AB51" s="362" t="s">
        <v>99</v>
      </c>
      <c r="AC51" s="362">
        <v>3</v>
      </c>
    </row>
    <row r="52" spans="13:29" ht="18" x14ac:dyDescent="0.4">
      <c r="S52" s="364" t="s">
        <v>464</v>
      </c>
      <c r="T52" s="231" t="s">
        <v>464</v>
      </c>
      <c r="U52" s="363">
        <v>21802800</v>
      </c>
      <c r="V52" s="363">
        <v>145352</v>
      </c>
      <c r="W52" s="363">
        <v>2406</v>
      </c>
      <c r="X52" s="362" t="s">
        <v>458</v>
      </c>
      <c r="Y52" s="362" t="s">
        <v>459</v>
      </c>
      <c r="Z52" s="362" t="s">
        <v>459</v>
      </c>
      <c r="AA52" s="362" t="s">
        <v>459</v>
      </c>
      <c r="AB52" s="362" t="s">
        <v>199</v>
      </c>
      <c r="AC52" s="362">
        <v>4</v>
      </c>
    </row>
    <row r="53" spans="13:29" ht="18" x14ac:dyDescent="0.4">
      <c r="S53" s="364" t="s">
        <v>465</v>
      </c>
      <c r="T53" s="231" t="s">
        <v>465</v>
      </c>
      <c r="U53" s="363">
        <v>1497672</v>
      </c>
      <c r="V53" s="363">
        <v>7140</v>
      </c>
      <c r="W53" s="362">
        <v>105</v>
      </c>
      <c r="X53" s="362" t="s">
        <v>458</v>
      </c>
      <c r="Y53" s="362" t="s">
        <v>459</v>
      </c>
      <c r="Z53" s="362" t="s">
        <v>459</v>
      </c>
      <c r="AA53" s="362" t="s">
        <v>459</v>
      </c>
      <c r="AB53" s="362" t="s">
        <v>113</v>
      </c>
      <c r="AC53" s="362">
        <v>5</v>
      </c>
    </row>
    <row r="54" spans="13:29" ht="18" customHeight="1" x14ac:dyDescent="0.4">
      <c r="S54" s="364" t="s">
        <v>466</v>
      </c>
      <c r="T54" s="231" t="s">
        <v>466</v>
      </c>
      <c r="U54" s="365">
        <v>1278679319</v>
      </c>
      <c r="V54" s="363">
        <v>1025720</v>
      </c>
      <c r="W54" s="363">
        <v>17217</v>
      </c>
      <c r="X54" s="362" t="s">
        <v>458</v>
      </c>
      <c r="Y54" s="362" t="s">
        <v>459</v>
      </c>
      <c r="Z54" s="362" t="s">
        <v>459</v>
      </c>
      <c r="AA54" s="362" t="s">
        <v>459</v>
      </c>
      <c r="AB54" s="362" t="s">
        <v>114</v>
      </c>
      <c r="AC54" s="362">
        <v>6</v>
      </c>
    </row>
    <row r="55" spans="13:29" ht="18" x14ac:dyDescent="0.4">
      <c r="S55" s="364" t="s">
        <v>467</v>
      </c>
      <c r="T55" s="231" t="s">
        <v>467</v>
      </c>
      <c r="U55" s="366">
        <v>3521407309</v>
      </c>
      <c r="V55" s="366">
        <v>3611656</v>
      </c>
      <c r="W55" s="366">
        <v>64460</v>
      </c>
      <c r="X55" s="367" t="s">
        <v>468</v>
      </c>
      <c r="Y55" s="368"/>
      <c r="Z55" s="362" t="s">
        <v>459</v>
      </c>
      <c r="AA55" s="362" t="s">
        <v>459</v>
      </c>
      <c r="AB55" s="362" t="s">
        <v>101</v>
      </c>
      <c r="AC55" s="362">
        <v>7</v>
      </c>
    </row>
    <row r="56" spans="13:29" ht="18" x14ac:dyDescent="0.5">
      <c r="S56" s="141">
        <f>SUM(S49:S55)</f>
        <v>0</v>
      </c>
      <c r="T56" s="141">
        <f>SUM(T49:T55)</f>
        <v>0</v>
      </c>
      <c r="U56" s="366">
        <v>3521407309</v>
      </c>
      <c r="V56" s="366">
        <v>3611656</v>
      </c>
      <c r="W56" s="366">
        <v>64460</v>
      </c>
      <c r="X56" s="22"/>
      <c r="Y56" s="22"/>
      <c r="Z56" s="368"/>
      <c r="AA56" s="368"/>
      <c r="AB56" s="368"/>
      <c r="AC56" s="369"/>
    </row>
    <row r="57" spans="13:29" ht="18" x14ac:dyDescent="0.5">
      <c r="U57" s="370" t="s">
        <v>469</v>
      </c>
      <c r="V57" s="22"/>
      <c r="W57" s="22"/>
      <c r="X57" s="22"/>
      <c r="Y57" s="22"/>
      <c r="Z57" s="22"/>
      <c r="AA57" s="22"/>
      <c r="AB57" s="22"/>
      <c r="AC57" s="22"/>
    </row>
    <row r="58" spans="13:29" ht="18" x14ac:dyDescent="0.5">
      <c r="Z58" s="22"/>
      <c r="AA58" s="22"/>
      <c r="AB58" s="22"/>
      <c r="AC58" s="22"/>
    </row>
    <row r="59" spans="13:29" x14ac:dyDescent="0.4">
      <c r="U59" s="357" t="s">
        <v>470</v>
      </c>
    </row>
    <row r="60" spans="13:29" ht="18" x14ac:dyDescent="0.4">
      <c r="U60" s="371">
        <v>1278679314</v>
      </c>
      <c r="V60" s="372" t="s">
        <v>471</v>
      </c>
      <c r="W60" s="372" t="s">
        <v>472</v>
      </c>
    </row>
    <row r="61" spans="13:29" ht="18" x14ac:dyDescent="0.4">
      <c r="U61" s="373">
        <v>3521427402</v>
      </c>
      <c r="V61" s="374" t="s">
        <v>473</v>
      </c>
      <c r="W61" s="374" t="s">
        <v>474</v>
      </c>
    </row>
    <row r="63" spans="13:29" ht="15.75" customHeight="1" x14ac:dyDescent="0.4">
      <c r="M63" s="358" t="s">
        <v>475</v>
      </c>
      <c r="N63" s="375">
        <v>0.52394675925925926</v>
      </c>
      <c r="O63" s="376" t="s">
        <v>476</v>
      </c>
      <c r="U63" s="2781" t="s">
        <v>448</v>
      </c>
      <c r="V63" s="2781"/>
      <c r="W63" s="2781"/>
      <c r="X63" s="2781"/>
      <c r="Y63" s="2781"/>
    </row>
    <row r="64" spans="13:29" ht="47.25" x14ac:dyDescent="0.5">
      <c r="M64" s="377" t="s">
        <v>448</v>
      </c>
      <c r="N64" s="377"/>
      <c r="O64" s="377"/>
      <c r="P64" s="376" t="s">
        <v>477</v>
      </c>
      <c r="Q64" s="358" t="s">
        <v>447</v>
      </c>
      <c r="R64" s="22"/>
      <c r="U64" s="378" t="s">
        <v>449</v>
      </c>
      <c r="V64" s="378"/>
      <c r="W64" s="378"/>
      <c r="X64" s="378"/>
      <c r="Y64" s="378"/>
      <c r="Z64" s="22"/>
    </row>
    <row r="65" spans="13:26" ht="47.25" x14ac:dyDescent="0.5">
      <c r="M65" s="378" t="s">
        <v>449</v>
      </c>
      <c r="N65" s="378"/>
      <c r="O65" s="378"/>
      <c r="P65" s="377"/>
      <c r="Q65" s="377"/>
      <c r="R65" s="22"/>
      <c r="U65" s="379"/>
      <c r="V65" s="380" t="s">
        <v>450</v>
      </c>
      <c r="W65" s="381" t="s">
        <v>451</v>
      </c>
      <c r="X65" s="382" t="s">
        <v>452</v>
      </c>
      <c r="Y65" s="383" t="s">
        <v>478</v>
      </c>
      <c r="Z65" s="378"/>
    </row>
    <row r="66" spans="13:26" ht="54.75" thickBot="1" x14ac:dyDescent="0.55000000000000004">
      <c r="M66" s="379"/>
      <c r="N66" s="380" t="s">
        <v>479</v>
      </c>
      <c r="O66" s="381" t="s">
        <v>451</v>
      </c>
      <c r="P66" s="378"/>
      <c r="Q66" s="378"/>
      <c r="R66" s="378"/>
      <c r="U66" s="2783" t="s">
        <v>199</v>
      </c>
      <c r="V66" s="2783"/>
      <c r="W66" s="2783"/>
      <c r="X66" s="2783"/>
      <c r="Y66" s="22"/>
      <c r="Z66" s="384" t="s">
        <v>480</v>
      </c>
    </row>
    <row r="67" spans="13:26" ht="54.75" thickBot="1" x14ac:dyDescent="0.55000000000000004">
      <c r="M67" s="385" t="s">
        <v>199</v>
      </c>
      <c r="N67" s="385"/>
      <c r="O67" s="385"/>
      <c r="P67" s="382" t="s">
        <v>452</v>
      </c>
      <c r="Q67" s="383" t="s">
        <v>478</v>
      </c>
      <c r="R67" s="384" t="s">
        <v>480</v>
      </c>
      <c r="U67" s="386" t="s">
        <v>481</v>
      </c>
      <c r="V67" s="386" t="s">
        <v>220</v>
      </c>
      <c r="W67" s="386" t="s">
        <v>410</v>
      </c>
      <c r="X67" s="386" t="s">
        <v>218</v>
      </c>
      <c r="Y67" s="22"/>
      <c r="Z67" s="22"/>
    </row>
    <row r="68" spans="13:26" ht="18.75" thickBot="1" x14ac:dyDescent="0.55000000000000004">
      <c r="M68" s="386" t="s">
        <v>481</v>
      </c>
      <c r="N68" s="386" t="s">
        <v>220</v>
      </c>
      <c r="O68" s="386" t="s">
        <v>410</v>
      </c>
      <c r="P68" s="385"/>
      <c r="Q68" s="22"/>
      <c r="R68" s="22"/>
      <c r="U68" s="387" t="s">
        <v>458</v>
      </c>
      <c r="V68" s="388" t="s">
        <v>464</v>
      </c>
      <c r="W68" s="388" t="s">
        <v>482</v>
      </c>
      <c r="X68" s="388" t="s">
        <v>483</v>
      </c>
      <c r="Y68" s="22"/>
      <c r="Z68" s="22"/>
    </row>
    <row r="69" spans="13:26" ht="18.75" thickBot="1" x14ac:dyDescent="0.55000000000000004">
      <c r="M69" s="387" t="s">
        <v>458</v>
      </c>
      <c r="N69" s="388" t="s">
        <v>464</v>
      </c>
      <c r="O69" s="388" t="s">
        <v>482</v>
      </c>
      <c r="P69" s="386" t="s">
        <v>218</v>
      </c>
      <c r="Q69" s="22"/>
      <c r="R69" s="22"/>
      <c r="U69" s="389" t="s">
        <v>484</v>
      </c>
      <c r="V69" s="390" t="s">
        <v>464</v>
      </c>
      <c r="W69" s="390" t="s">
        <v>482</v>
      </c>
      <c r="X69" s="390" t="s">
        <v>483</v>
      </c>
      <c r="Y69" s="22"/>
      <c r="Z69" s="22"/>
    </row>
    <row r="70" spans="13:26" ht="18.75" thickBot="1" x14ac:dyDescent="0.55000000000000004">
      <c r="M70" s="389" t="s">
        <v>484</v>
      </c>
      <c r="N70" s="390" t="s">
        <v>464</v>
      </c>
      <c r="O70" s="390" t="s">
        <v>482</v>
      </c>
      <c r="P70" s="388" t="s">
        <v>483</v>
      </c>
      <c r="Q70" s="22"/>
      <c r="R70" s="22"/>
      <c r="U70" s="2777" t="s">
        <v>201</v>
      </c>
      <c r="V70" s="2777"/>
      <c r="W70" s="2777"/>
      <c r="X70" s="2777"/>
      <c r="Y70" s="22"/>
      <c r="Z70" s="22"/>
    </row>
    <row r="71" spans="13:26" ht="18.75" thickBot="1" x14ac:dyDescent="0.55000000000000004">
      <c r="M71" s="391" t="s">
        <v>201</v>
      </c>
      <c r="N71" s="391"/>
      <c r="O71" s="391"/>
      <c r="P71" s="390" t="s">
        <v>483</v>
      </c>
      <c r="Q71" s="22"/>
      <c r="R71" s="22"/>
      <c r="U71" s="386" t="s">
        <v>481</v>
      </c>
      <c r="V71" s="386" t="s">
        <v>220</v>
      </c>
      <c r="W71" s="386" t="s">
        <v>410</v>
      </c>
      <c r="X71" s="386" t="s">
        <v>218</v>
      </c>
      <c r="Y71" s="22"/>
      <c r="Z71" s="22"/>
    </row>
    <row r="72" spans="13:26" ht="18.75" thickBot="1" x14ac:dyDescent="0.55000000000000004">
      <c r="M72" s="386" t="s">
        <v>481</v>
      </c>
      <c r="N72" s="386" t="s">
        <v>220</v>
      </c>
      <c r="O72" s="386" t="s">
        <v>410</v>
      </c>
      <c r="P72" s="391"/>
      <c r="Q72" s="22"/>
      <c r="R72" s="22"/>
      <c r="U72" s="387" t="s">
        <v>458</v>
      </c>
      <c r="V72" s="388" t="s">
        <v>461</v>
      </c>
      <c r="W72" s="388" t="s">
        <v>485</v>
      </c>
      <c r="X72" s="388" t="s">
        <v>486</v>
      </c>
      <c r="Y72" s="22"/>
      <c r="Z72" s="22"/>
    </row>
    <row r="73" spans="13:26" ht="18.75" thickBot="1" x14ac:dyDescent="0.55000000000000004">
      <c r="M73" s="387" t="s">
        <v>458</v>
      </c>
      <c r="N73" s="388" t="s">
        <v>461</v>
      </c>
      <c r="O73" s="388" t="s">
        <v>485</v>
      </c>
      <c r="P73" s="386" t="s">
        <v>218</v>
      </c>
      <c r="Q73" s="22"/>
      <c r="R73" s="22"/>
      <c r="U73" s="389" t="s">
        <v>484</v>
      </c>
      <c r="V73" s="390" t="s">
        <v>461</v>
      </c>
      <c r="W73" s="390" t="s">
        <v>485</v>
      </c>
      <c r="X73" s="390" t="s">
        <v>486</v>
      </c>
      <c r="Y73" s="22"/>
      <c r="Z73" s="22"/>
    </row>
    <row r="74" spans="13:26" ht="18.75" thickBot="1" x14ac:dyDescent="0.55000000000000004">
      <c r="M74" s="389" t="s">
        <v>484</v>
      </c>
      <c r="N74" s="390" t="s">
        <v>461</v>
      </c>
      <c r="O74" s="390" t="s">
        <v>485</v>
      </c>
      <c r="P74" s="388" t="s">
        <v>486</v>
      </c>
      <c r="Q74" s="22"/>
      <c r="R74" s="22"/>
      <c r="U74" s="2777" t="s">
        <v>114</v>
      </c>
      <c r="V74" s="2777"/>
      <c r="W74" s="2777"/>
      <c r="X74" s="2777"/>
      <c r="Y74" s="22"/>
      <c r="Z74" s="22"/>
    </row>
    <row r="75" spans="13:26" ht="18.75" thickBot="1" x14ac:dyDescent="0.55000000000000004">
      <c r="M75" s="391" t="s">
        <v>114</v>
      </c>
      <c r="N75" s="391"/>
      <c r="O75" s="391"/>
      <c r="P75" s="390" t="s">
        <v>486</v>
      </c>
      <c r="Q75" s="22"/>
      <c r="R75" s="22"/>
      <c r="U75" s="386" t="s">
        <v>481</v>
      </c>
      <c r="V75" s="386" t="s">
        <v>220</v>
      </c>
      <c r="W75" s="386" t="s">
        <v>410</v>
      </c>
      <c r="X75" s="386" t="s">
        <v>218</v>
      </c>
      <c r="Y75" s="22"/>
      <c r="Z75" s="22"/>
    </row>
    <row r="76" spans="13:26" ht="18.75" thickBot="1" x14ac:dyDescent="0.55000000000000004">
      <c r="M76" s="386" t="s">
        <v>481</v>
      </c>
      <c r="N76" s="386" t="s">
        <v>220</v>
      </c>
      <c r="O76" s="386" t="s">
        <v>410</v>
      </c>
      <c r="P76" s="391"/>
      <c r="Q76" s="22"/>
      <c r="R76" s="22"/>
      <c r="U76" s="387" t="s">
        <v>458</v>
      </c>
      <c r="V76" s="388" t="s">
        <v>466</v>
      </c>
      <c r="W76" s="388" t="s">
        <v>487</v>
      </c>
      <c r="X76" s="388" t="s">
        <v>488</v>
      </c>
      <c r="Y76" s="22"/>
      <c r="Z76" s="22"/>
    </row>
    <row r="77" spans="13:26" ht="18.75" thickBot="1" x14ac:dyDescent="0.55000000000000004">
      <c r="M77" s="387" t="s">
        <v>458</v>
      </c>
      <c r="N77" s="388" t="s">
        <v>466</v>
      </c>
      <c r="O77" s="388" t="s">
        <v>487</v>
      </c>
      <c r="P77" s="386" t="s">
        <v>218</v>
      </c>
      <c r="Q77" s="22"/>
      <c r="R77" s="22"/>
      <c r="U77" s="389" t="s">
        <v>484</v>
      </c>
      <c r="V77" s="390" t="s">
        <v>466</v>
      </c>
      <c r="W77" s="390" t="s">
        <v>487</v>
      </c>
      <c r="X77" s="390" t="s">
        <v>488</v>
      </c>
      <c r="Y77" s="22"/>
      <c r="Z77" s="22"/>
    </row>
    <row r="78" spans="13:26" ht="18.75" thickBot="1" x14ac:dyDescent="0.55000000000000004">
      <c r="M78" s="389" t="s">
        <v>484</v>
      </c>
      <c r="N78" s="390" t="s">
        <v>466</v>
      </c>
      <c r="O78" s="390" t="s">
        <v>487</v>
      </c>
      <c r="P78" s="388" t="s">
        <v>488</v>
      </c>
      <c r="Q78" s="22"/>
      <c r="R78" s="22"/>
      <c r="U78" s="2777" t="s">
        <v>113</v>
      </c>
      <c r="V78" s="2777"/>
      <c r="W78" s="2777"/>
      <c r="X78" s="2777"/>
      <c r="Y78" s="22"/>
      <c r="Z78" s="22"/>
    </row>
    <row r="79" spans="13:26" ht="18.75" thickBot="1" x14ac:dyDescent="0.55000000000000004">
      <c r="M79" s="391" t="s">
        <v>113</v>
      </c>
      <c r="N79" s="391"/>
      <c r="O79" s="391"/>
      <c r="P79" s="390" t="s">
        <v>488</v>
      </c>
      <c r="Q79" s="22"/>
      <c r="R79" s="22"/>
      <c r="U79" s="386" t="s">
        <v>481</v>
      </c>
      <c r="V79" s="386" t="s">
        <v>220</v>
      </c>
      <c r="W79" s="386" t="s">
        <v>410</v>
      </c>
      <c r="X79" s="386" t="s">
        <v>218</v>
      </c>
      <c r="Y79" s="22"/>
      <c r="Z79" s="22"/>
    </row>
    <row r="80" spans="13:26" ht="18.75" thickBot="1" x14ac:dyDescent="0.55000000000000004">
      <c r="M80" s="386" t="s">
        <v>481</v>
      </c>
      <c r="N80" s="386" t="s">
        <v>220</v>
      </c>
      <c r="O80" s="386" t="s">
        <v>410</v>
      </c>
      <c r="P80" s="391"/>
      <c r="Q80" s="22"/>
      <c r="R80" s="22"/>
      <c r="U80" s="387" t="s">
        <v>458</v>
      </c>
      <c r="V80" s="388" t="s">
        <v>465</v>
      </c>
      <c r="W80" s="388" t="s">
        <v>489</v>
      </c>
      <c r="X80" s="388" t="s">
        <v>490</v>
      </c>
      <c r="Y80" s="22"/>
      <c r="Z80" s="22"/>
    </row>
    <row r="81" spans="13:26" ht="18.75" thickBot="1" x14ac:dyDescent="0.55000000000000004">
      <c r="M81" s="387" t="s">
        <v>458</v>
      </c>
      <c r="N81" s="388" t="s">
        <v>465</v>
      </c>
      <c r="O81" s="388" t="s">
        <v>489</v>
      </c>
      <c r="P81" s="386" t="s">
        <v>218</v>
      </c>
      <c r="Q81" s="22"/>
      <c r="R81" s="22"/>
      <c r="U81" s="389" t="s">
        <v>484</v>
      </c>
      <c r="V81" s="390" t="s">
        <v>465</v>
      </c>
      <c r="W81" s="390" t="s">
        <v>489</v>
      </c>
      <c r="X81" s="390" t="s">
        <v>490</v>
      </c>
      <c r="Y81" s="22"/>
      <c r="Z81" s="22"/>
    </row>
    <row r="82" spans="13:26" ht="18.75" thickBot="1" x14ac:dyDescent="0.55000000000000004">
      <c r="M82" s="389" t="s">
        <v>484</v>
      </c>
      <c r="N82" s="390" t="s">
        <v>465</v>
      </c>
      <c r="O82" s="390" t="s">
        <v>489</v>
      </c>
      <c r="P82" s="388" t="s">
        <v>490</v>
      </c>
      <c r="Q82" s="22"/>
      <c r="R82" s="22"/>
      <c r="U82" s="2777" t="s">
        <v>101</v>
      </c>
      <c r="V82" s="2777"/>
      <c r="W82" s="2777"/>
      <c r="X82" s="2777"/>
      <c r="Y82" s="22"/>
      <c r="Z82" s="22"/>
    </row>
    <row r="83" spans="13:26" ht="18.75" thickBot="1" x14ac:dyDescent="0.55000000000000004">
      <c r="M83" s="391" t="s">
        <v>101</v>
      </c>
      <c r="N83" s="391"/>
      <c r="O83" s="391"/>
      <c r="P83" s="390" t="s">
        <v>490</v>
      </c>
      <c r="Q83" s="22"/>
      <c r="R83" s="22"/>
      <c r="U83" s="386" t="s">
        <v>481</v>
      </c>
      <c r="V83" s="386" t="s">
        <v>220</v>
      </c>
      <c r="W83" s="386" t="s">
        <v>410</v>
      </c>
      <c r="X83" s="386" t="s">
        <v>218</v>
      </c>
      <c r="Y83" s="22"/>
      <c r="Z83" s="22"/>
    </row>
    <row r="84" spans="13:26" ht="18.75" thickBot="1" x14ac:dyDescent="0.55000000000000004">
      <c r="M84" s="386" t="s">
        <v>481</v>
      </c>
      <c r="N84" s="386" t="s">
        <v>220</v>
      </c>
      <c r="O84" s="386" t="s">
        <v>410</v>
      </c>
      <c r="P84" s="391"/>
      <c r="Q84" s="22"/>
      <c r="R84" s="22"/>
      <c r="U84" s="387" t="s">
        <v>458</v>
      </c>
      <c r="V84" s="388" t="s">
        <v>467</v>
      </c>
      <c r="W84" s="388" t="s">
        <v>491</v>
      </c>
      <c r="X84" s="388" t="s">
        <v>492</v>
      </c>
      <c r="Y84" s="22"/>
      <c r="Z84" s="22"/>
    </row>
    <row r="85" spans="13:26" ht="18.75" thickBot="1" x14ac:dyDescent="0.55000000000000004">
      <c r="M85" s="387" t="s">
        <v>458</v>
      </c>
      <c r="N85" s="388" t="s">
        <v>493</v>
      </c>
      <c r="O85" s="388" t="s">
        <v>494</v>
      </c>
      <c r="P85" s="386" t="s">
        <v>218</v>
      </c>
      <c r="Q85" s="22"/>
      <c r="R85" s="22"/>
      <c r="U85" s="389" t="s">
        <v>484</v>
      </c>
      <c r="V85" s="392" t="s">
        <v>467</v>
      </c>
      <c r="W85" s="390" t="s">
        <v>491</v>
      </c>
      <c r="X85" s="390" t="s">
        <v>492</v>
      </c>
      <c r="Y85" s="22"/>
      <c r="Z85" s="22"/>
    </row>
    <row r="86" spans="13:26" ht="18.75" thickBot="1" x14ac:dyDescent="0.55000000000000004">
      <c r="M86" s="389" t="s">
        <v>484</v>
      </c>
      <c r="N86" s="390" t="s">
        <v>493</v>
      </c>
      <c r="O86" s="390" t="s">
        <v>494</v>
      </c>
      <c r="P86" s="388" t="s">
        <v>495</v>
      </c>
      <c r="Q86" s="22"/>
      <c r="R86" s="22"/>
      <c r="U86" s="2777" t="s">
        <v>99</v>
      </c>
      <c r="V86" s="2777"/>
      <c r="W86" s="2777"/>
      <c r="X86" s="2777"/>
      <c r="Y86" s="22"/>
      <c r="Z86" s="22"/>
    </row>
    <row r="87" spans="13:26" ht="18.75" thickBot="1" x14ac:dyDescent="0.55000000000000004">
      <c r="M87" s="391" t="s">
        <v>99</v>
      </c>
      <c r="N87" s="391"/>
      <c r="O87" s="391"/>
      <c r="P87" s="390" t="s">
        <v>495</v>
      </c>
      <c r="Q87" s="22"/>
      <c r="R87" s="22"/>
      <c r="U87" s="386" t="s">
        <v>481</v>
      </c>
      <c r="V87" s="386" t="s">
        <v>220</v>
      </c>
      <c r="W87" s="386" t="s">
        <v>410</v>
      </c>
      <c r="X87" s="386" t="s">
        <v>218</v>
      </c>
      <c r="Y87" s="22"/>
      <c r="Z87" s="22"/>
    </row>
    <row r="88" spans="13:26" ht="18.75" thickBot="1" x14ac:dyDescent="0.55000000000000004">
      <c r="M88" s="386" t="s">
        <v>481</v>
      </c>
      <c r="N88" s="386" t="s">
        <v>220</v>
      </c>
      <c r="O88" s="386" t="s">
        <v>410</v>
      </c>
      <c r="P88" s="391"/>
      <c r="Q88" s="22"/>
      <c r="R88" s="22"/>
      <c r="U88" s="387" t="s">
        <v>458</v>
      </c>
      <c r="V88" s="388" t="s">
        <v>463</v>
      </c>
      <c r="W88" s="388" t="s">
        <v>496</v>
      </c>
      <c r="X88" s="388" t="s">
        <v>497</v>
      </c>
      <c r="Y88" s="22"/>
      <c r="Z88" s="22"/>
    </row>
    <row r="89" spans="13:26" ht="18.75" thickBot="1" x14ac:dyDescent="0.55000000000000004">
      <c r="M89" s="387" t="s">
        <v>458</v>
      </c>
      <c r="N89" s="388" t="s">
        <v>498</v>
      </c>
      <c r="O89" s="388" t="s">
        <v>499</v>
      </c>
      <c r="P89" s="386" t="s">
        <v>218</v>
      </c>
      <c r="Q89" s="22"/>
      <c r="R89" s="22"/>
      <c r="U89" s="389" t="s">
        <v>484</v>
      </c>
      <c r="V89" s="390" t="s">
        <v>463</v>
      </c>
      <c r="W89" s="390" t="s">
        <v>496</v>
      </c>
      <c r="X89" s="390" t="s">
        <v>497</v>
      </c>
      <c r="Y89" s="22"/>
      <c r="Z89" s="22"/>
    </row>
    <row r="90" spans="13:26" ht="18.75" thickBot="1" x14ac:dyDescent="0.55000000000000004">
      <c r="M90" s="389" t="s">
        <v>484</v>
      </c>
      <c r="N90" s="390" t="s">
        <v>498</v>
      </c>
      <c r="O90" s="390" t="s">
        <v>499</v>
      </c>
      <c r="P90" s="388" t="s">
        <v>500</v>
      </c>
      <c r="Q90" s="22"/>
      <c r="R90" s="22"/>
      <c r="U90" s="2777" t="s">
        <v>107</v>
      </c>
      <c r="V90" s="2777"/>
      <c r="W90" s="2777"/>
      <c r="X90" s="2777"/>
      <c r="Y90" s="22"/>
      <c r="Z90" s="22"/>
    </row>
    <row r="91" spans="13:26" ht="18.75" thickBot="1" x14ac:dyDescent="0.55000000000000004">
      <c r="M91" s="391" t="s">
        <v>107</v>
      </c>
      <c r="N91" s="391"/>
      <c r="O91" s="391"/>
      <c r="P91" s="390" t="s">
        <v>500</v>
      </c>
      <c r="Q91" s="22"/>
      <c r="R91" s="22"/>
      <c r="U91" s="386" t="s">
        <v>481</v>
      </c>
      <c r="V91" s="386" t="s">
        <v>220</v>
      </c>
      <c r="W91" s="386" t="s">
        <v>410</v>
      </c>
      <c r="X91" s="386" t="s">
        <v>218</v>
      </c>
      <c r="Y91" s="22"/>
      <c r="Z91" s="22"/>
    </row>
    <row r="92" spans="13:26" ht="18.75" thickBot="1" x14ac:dyDescent="0.55000000000000004">
      <c r="M92" s="386" t="s">
        <v>481</v>
      </c>
      <c r="N92" s="386" t="s">
        <v>220</v>
      </c>
      <c r="O92" s="386" t="s">
        <v>410</v>
      </c>
      <c r="P92" s="391"/>
      <c r="Q92" s="22"/>
      <c r="R92" s="22"/>
      <c r="U92" s="387" t="s">
        <v>458</v>
      </c>
      <c r="V92" s="388" t="s">
        <v>462</v>
      </c>
      <c r="W92" s="388" t="s">
        <v>501</v>
      </c>
      <c r="X92" s="388" t="s">
        <v>502</v>
      </c>
      <c r="Y92" s="22"/>
      <c r="Z92" s="22"/>
    </row>
    <row r="93" spans="13:26" ht="18.75" thickBot="1" x14ac:dyDescent="0.55000000000000004">
      <c r="M93" s="387" t="s">
        <v>458</v>
      </c>
      <c r="N93" s="388" t="s">
        <v>503</v>
      </c>
      <c r="O93" s="388" t="s">
        <v>504</v>
      </c>
      <c r="P93" s="386" t="s">
        <v>218</v>
      </c>
      <c r="Q93" s="22"/>
      <c r="R93" s="22"/>
      <c r="U93" s="389" t="s">
        <v>484</v>
      </c>
      <c r="V93" s="390" t="s">
        <v>462</v>
      </c>
      <c r="W93" s="390" t="s">
        <v>501</v>
      </c>
      <c r="X93" s="390" t="s">
        <v>502</v>
      </c>
      <c r="Y93" s="22"/>
      <c r="Z93" s="22"/>
    </row>
    <row r="94" spans="13:26" ht="18.75" thickBot="1" x14ac:dyDescent="0.55000000000000004">
      <c r="M94" s="389" t="s">
        <v>484</v>
      </c>
      <c r="N94" s="390" t="s">
        <v>503</v>
      </c>
      <c r="O94" s="390" t="s">
        <v>504</v>
      </c>
      <c r="P94" s="388" t="s">
        <v>505</v>
      </c>
      <c r="Q94" s="22"/>
      <c r="R94" s="22"/>
      <c r="U94" s="393" t="s">
        <v>33</v>
      </c>
      <c r="V94" s="394" t="s">
        <v>506</v>
      </c>
      <c r="W94" s="394" t="s">
        <v>507</v>
      </c>
      <c r="X94" s="394" t="s">
        <v>508</v>
      </c>
      <c r="Y94" s="22"/>
      <c r="Z94" s="22"/>
    </row>
    <row r="95" spans="13:26" ht="18.75" thickBot="1" x14ac:dyDescent="0.55000000000000004">
      <c r="M95" s="393" t="s">
        <v>33</v>
      </c>
      <c r="N95" s="394" t="s">
        <v>509</v>
      </c>
      <c r="O95" s="394" t="s">
        <v>510</v>
      </c>
      <c r="P95" s="390" t="s">
        <v>505</v>
      </c>
      <c r="Q95" s="22"/>
      <c r="R95" s="22"/>
      <c r="V95" s="395">
        <v>3521427409</v>
      </c>
      <c r="W95" s="394" t="s">
        <v>507</v>
      </c>
      <c r="X95" s="394" t="s">
        <v>508</v>
      </c>
      <c r="Z95" s="22"/>
    </row>
    <row r="96" spans="13:26" ht="18" customHeight="1" x14ac:dyDescent="0.5">
      <c r="P96" s="394" t="s">
        <v>511</v>
      </c>
      <c r="Q96" s="22"/>
      <c r="R96" s="22"/>
      <c r="U96" s="141" t="s">
        <v>512</v>
      </c>
    </row>
    <row r="97" spans="21:30" ht="18" x14ac:dyDescent="0.4">
      <c r="U97" s="366">
        <v>1278679319</v>
      </c>
      <c r="V97" s="366">
        <v>1025720</v>
      </c>
      <c r="W97" s="366">
        <v>17217</v>
      </c>
      <c r="X97" s="367" t="s">
        <v>513</v>
      </c>
      <c r="Y97" s="368"/>
    </row>
    <row r="98" spans="21:30" ht="18" x14ac:dyDescent="0.4">
      <c r="U98" s="366">
        <v>3521407309</v>
      </c>
      <c r="V98" s="366">
        <v>3611656</v>
      </c>
      <c r="W98" s="366">
        <v>64460</v>
      </c>
      <c r="Z98" s="368"/>
      <c r="AA98" s="368"/>
      <c r="AB98" s="368"/>
      <c r="AC98" s="368"/>
      <c r="AD98" s="369"/>
    </row>
  </sheetData>
  <mergeCells count="53">
    <mergeCell ref="Z22:AD22"/>
    <mergeCell ref="A22:E22"/>
    <mergeCell ref="F22:J22"/>
    <mergeCell ref="K22:O22"/>
    <mergeCell ref="P22:T22"/>
    <mergeCell ref="U22:Y22"/>
    <mergeCell ref="O23:O24"/>
    <mergeCell ref="A23:A24"/>
    <mergeCell ref="B23:C23"/>
    <mergeCell ref="D23:D24"/>
    <mergeCell ref="E23:E24"/>
    <mergeCell ref="F23:F24"/>
    <mergeCell ref="G23:H23"/>
    <mergeCell ref="I23:I24"/>
    <mergeCell ref="J23:J24"/>
    <mergeCell ref="K23:K24"/>
    <mergeCell ref="L23:M23"/>
    <mergeCell ref="N23:N24"/>
    <mergeCell ref="AD23:AD24"/>
    <mergeCell ref="P23:P24"/>
    <mergeCell ref="Q23:R23"/>
    <mergeCell ref="S23:S24"/>
    <mergeCell ref="T23:T24"/>
    <mergeCell ref="U23:U24"/>
    <mergeCell ref="V23:W23"/>
    <mergeCell ref="X23:X24"/>
    <mergeCell ref="Y23:Y24"/>
    <mergeCell ref="Z23:Z24"/>
    <mergeCell ref="AA23:AB23"/>
    <mergeCell ref="AC23:AC24"/>
    <mergeCell ref="A35:E35"/>
    <mergeCell ref="K35:O35"/>
    <mergeCell ref="U35:Y35"/>
    <mergeCell ref="A36:E36"/>
    <mergeCell ref="K36:O36"/>
    <mergeCell ref="U36:Y36"/>
    <mergeCell ref="U70:X70"/>
    <mergeCell ref="F38:J38"/>
    <mergeCell ref="P38:T38"/>
    <mergeCell ref="Z38:AD38"/>
    <mergeCell ref="F39:J39"/>
    <mergeCell ref="P39:T39"/>
    <mergeCell ref="Z39:AD39"/>
    <mergeCell ref="F43:J45"/>
    <mergeCell ref="U44:Y44"/>
    <mergeCell ref="U45:Y45"/>
    <mergeCell ref="U63:Y63"/>
    <mergeCell ref="U66:X66"/>
    <mergeCell ref="U74:X74"/>
    <mergeCell ref="U78:X78"/>
    <mergeCell ref="U82:X82"/>
    <mergeCell ref="U86:X86"/>
    <mergeCell ref="U90:X90"/>
  </mergeCells>
  <printOptions horizontalCentered="1"/>
  <pageMargins left="0.78740157480314965" right="0.78740157480314965" top="0.98425196850393704" bottom="0.98425196850393704" header="0" footer="0"/>
  <pageSetup paperSize="9" firstPageNumber="33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86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94" baseType="lpstr">
      <vt:lpstr>18</vt:lpstr>
      <vt:lpstr>20</vt:lpstr>
      <vt:lpstr>22</vt:lpstr>
      <vt:lpstr>24</vt:lpstr>
      <vt:lpstr>27</vt:lpstr>
      <vt:lpstr>30</vt:lpstr>
      <vt:lpstr>31</vt:lpstr>
      <vt:lpstr>32</vt:lpstr>
      <vt:lpstr>33</vt:lpstr>
      <vt:lpstr>39</vt:lpstr>
      <vt:lpstr>40</vt:lpstr>
      <vt:lpstr>41</vt:lpstr>
      <vt:lpstr>42</vt:lpstr>
      <vt:lpstr>44</vt:lpstr>
      <vt:lpstr>46</vt:lpstr>
      <vt:lpstr>48</vt:lpstr>
      <vt:lpstr>49</vt:lpstr>
      <vt:lpstr>50</vt:lpstr>
      <vt:lpstr>52</vt:lpstr>
      <vt:lpstr>54</vt:lpstr>
      <vt:lpstr>55</vt:lpstr>
      <vt:lpstr>56 </vt:lpstr>
      <vt:lpstr>اهم دلایل باری</vt:lpstr>
      <vt:lpstr>p64</vt:lpstr>
      <vt:lpstr>p65</vt:lpstr>
      <vt:lpstr>p66</vt:lpstr>
      <vt:lpstr>p67</vt:lpstr>
      <vt:lpstr>p68</vt:lpstr>
      <vt:lpstr>p69</vt:lpstr>
      <vt:lpstr>p70</vt:lpstr>
      <vt:lpstr>p71</vt:lpstr>
      <vt:lpstr>p72</vt:lpstr>
      <vt:lpstr>p73</vt:lpstr>
      <vt:lpstr>p74</vt:lpstr>
      <vt:lpstr>اهم دلایل مسافریp77</vt:lpstr>
      <vt:lpstr>80j</vt:lpstr>
      <vt:lpstr>81j </vt:lpstr>
      <vt:lpstr>82j</vt:lpstr>
      <vt:lpstr>83j (2)</vt:lpstr>
      <vt:lpstr>84j</vt:lpstr>
      <vt:lpstr>85j</vt:lpstr>
      <vt:lpstr>86j</vt:lpstr>
      <vt:lpstr>87j (2)</vt:lpstr>
      <vt:lpstr>87j</vt:lpstr>
      <vt:lpstr>88j</vt:lpstr>
      <vt:lpstr>882j</vt:lpstr>
      <vt:lpstr>89j</vt:lpstr>
      <vt:lpstr>90j</vt:lpstr>
      <vt:lpstr>91j</vt:lpstr>
      <vt:lpstr>92j</vt:lpstr>
      <vt:lpstr>93j</vt:lpstr>
      <vt:lpstr>94j</vt:lpstr>
      <vt:lpstr>95j</vt:lpstr>
      <vt:lpstr>96j</vt:lpstr>
      <vt:lpstr>97j</vt:lpstr>
      <vt:lpstr>100-103j </vt:lpstr>
      <vt:lpstr>104j</vt:lpstr>
      <vt:lpstr>105j</vt:lpstr>
      <vt:lpstr>106j</vt:lpstr>
      <vt:lpstr>107j</vt:lpstr>
      <vt:lpstr>84</vt:lpstr>
      <vt:lpstr>85</vt:lpstr>
      <vt:lpstr>86</vt:lpstr>
      <vt:lpstr>89</vt:lpstr>
      <vt:lpstr>90</vt:lpstr>
      <vt:lpstr>113</vt:lpstr>
      <vt:lpstr>94</vt:lpstr>
      <vt:lpstr>97</vt:lpstr>
      <vt:lpstr>98</vt:lpstr>
      <vt:lpstr>95</vt:lpstr>
      <vt:lpstr>96</vt:lpstr>
      <vt:lpstr>131 (2)</vt:lpstr>
      <vt:lpstr>130j</vt:lpstr>
      <vt:lpstr>131</vt:lpstr>
      <vt:lpstr>132</vt:lpstr>
      <vt:lpstr>بخش خصوصی2</vt:lpstr>
      <vt:lpstr>بخش خصوصی3</vt:lpstr>
      <vt:lpstr>بخش خصوصی4</vt:lpstr>
      <vt:lpstr>بخش خصوصی5</vt:lpstr>
      <vt:lpstr>بخش خصوصی3 (2)</vt:lpstr>
      <vt:lpstr>بخش خصوصی4 (2)</vt:lpstr>
      <vt:lpstr>بخش خصوصی5 (2)</vt:lpstr>
      <vt:lpstr>136j</vt:lpstr>
      <vt:lpstr>132 (2)</vt:lpstr>
      <vt:lpstr>137j</vt:lpstr>
      <vt:lpstr>138j</vt:lpstr>
      <vt:lpstr>47</vt:lpstr>
      <vt:lpstr>'18'!Print_Area</vt:lpstr>
      <vt:lpstr>'20'!Print_Area</vt:lpstr>
      <vt:lpstr>'22'!Print_Area</vt:lpstr>
      <vt:lpstr>'88j'!Print_Area</vt:lpstr>
      <vt:lpstr>'95'!Print_Area</vt:lpstr>
      <vt:lpstr>'96'!Print_Area</vt:lpstr>
      <vt:lpstr>'p64'!Print_Area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2025-08-27T10:13:26Z</dcterms:modified>
</cp:coreProperties>
</file>