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نامه های روغنی\نامه های روغنی\دیتای باز\"/>
    </mc:Choice>
  </mc:AlternateContent>
  <xr:revisionPtr revIDLastSave="0" documentId="13_ncr:1_{A9A203ED-8435-4827-8080-B8B83BB2FB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ترانزیت نفتی و غیر نفتی" sheetId="2" r:id="rId1"/>
  </sheets>
  <externalReferences>
    <externalReference r:id="rId2"/>
  </externalReferences>
  <definedNames>
    <definedName name="_xlnm.Print_Area" localSheetId="0">'ترانزیت نفتی و غیر نفتی'!$A$1:$P$34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2" l="1"/>
  <c r="H33" i="2"/>
  <c r="D33" i="2"/>
  <c r="O32" i="2"/>
  <c r="O33" i="2" s="1"/>
  <c r="N32" i="2"/>
  <c r="N33" i="2" s="1"/>
  <c r="M32" i="2"/>
  <c r="M33" i="2" s="1"/>
  <c r="L32" i="2"/>
  <c r="S32" i="2" s="1"/>
  <c r="K32" i="2"/>
  <c r="K33" i="2" s="1"/>
  <c r="J32" i="2"/>
  <c r="J33" i="2" s="1"/>
  <c r="I32" i="2"/>
  <c r="H32" i="2"/>
  <c r="E32" i="2"/>
  <c r="D32" i="2"/>
  <c r="P32" i="2" s="1"/>
  <c r="L31" i="2"/>
  <c r="K31" i="2"/>
  <c r="J31" i="2"/>
  <c r="G31" i="2"/>
  <c r="G32" i="2" s="1"/>
  <c r="F31" i="2"/>
  <c r="F32" i="2" s="1"/>
  <c r="E31" i="2"/>
  <c r="P30" i="2"/>
  <c r="R29" i="2"/>
  <c r="O29" i="2"/>
  <c r="V29" i="2" s="1"/>
  <c r="N29" i="2"/>
  <c r="U29" i="2" s="1"/>
  <c r="M29" i="2"/>
  <c r="T29" i="2" s="1"/>
  <c r="L29" i="2"/>
  <c r="S29" i="2" s="1"/>
  <c r="K29" i="2"/>
  <c r="J29" i="2"/>
  <c r="I29" i="2"/>
  <c r="H29" i="2"/>
  <c r="D29" i="2"/>
  <c r="G28" i="2"/>
  <c r="G29" i="2" s="1"/>
  <c r="F28" i="2"/>
  <c r="F29" i="2" s="1"/>
  <c r="E28" i="2"/>
  <c r="E29" i="2" s="1"/>
  <c r="P27" i="2"/>
  <c r="O26" i="2"/>
  <c r="V26" i="2" s="1"/>
  <c r="N26" i="2"/>
  <c r="U26" i="2" s="1"/>
  <c r="M26" i="2"/>
  <c r="T26" i="2" s="1"/>
  <c r="L26" i="2"/>
  <c r="S26" i="2" s="1"/>
  <c r="K26" i="2"/>
  <c r="R26" i="2" s="1"/>
  <c r="J26" i="2"/>
  <c r="I26" i="2"/>
  <c r="H26" i="2"/>
  <c r="D26" i="2"/>
  <c r="G25" i="2"/>
  <c r="G26" i="2" s="1"/>
  <c r="F25" i="2"/>
  <c r="F26" i="2" s="1"/>
  <c r="E25" i="2"/>
  <c r="P25" i="2" s="1"/>
  <c r="P24" i="2"/>
  <c r="H23" i="2"/>
  <c r="G23" i="2"/>
  <c r="F23" i="2"/>
  <c r="E23" i="2"/>
  <c r="N22" i="2"/>
  <c r="N23" i="2" s="1"/>
  <c r="H22" i="2"/>
  <c r="G22" i="2"/>
  <c r="F22" i="2"/>
  <c r="E22" i="2"/>
  <c r="D22" i="2"/>
  <c r="D23" i="2" s="1"/>
  <c r="O21" i="2"/>
  <c r="O22" i="2" s="1"/>
  <c r="M21" i="2"/>
  <c r="M22" i="2" s="1"/>
  <c r="L21" i="2"/>
  <c r="L22" i="2" s="1"/>
  <c r="K21" i="2"/>
  <c r="K22" i="2" s="1"/>
  <c r="J21" i="2"/>
  <c r="J22" i="2" s="1"/>
  <c r="J23" i="2" s="1"/>
  <c r="I21" i="2"/>
  <c r="I22" i="2" s="1"/>
  <c r="I23" i="2" s="1"/>
  <c r="F21" i="2"/>
  <c r="E21" i="2"/>
  <c r="P20" i="2"/>
  <c r="U19" i="2"/>
  <c r="T19" i="2"/>
  <c r="S19" i="2"/>
  <c r="R19" i="2"/>
  <c r="O19" i="2"/>
  <c r="V19" i="2" s="1"/>
  <c r="N19" i="2"/>
  <c r="M19" i="2"/>
  <c r="L19" i="2"/>
  <c r="K19" i="2"/>
  <c r="J19" i="2"/>
  <c r="I19" i="2"/>
  <c r="H19" i="2"/>
  <c r="G19" i="2"/>
  <c r="F19" i="2"/>
  <c r="E19" i="2"/>
  <c r="D19" i="2"/>
  <c r="P19" i="2" s="1"/>
  <c r="P18" i="2"/>
  <c r="P17" i="2"/>
  <c r="O16" i="2"/>
  <c r="V16" i="2" s="1"/>
  <c r="N16" i="2"/>
  <c r="U16" i="2" s="1"/>
  <c r="M16" i="2"/>
  <c r="T16" i="2" s="1"/>
  <c r="L16" i="2"/>
  <c r="S16" i="2" s="1"/>
  <c r="K16" i="2"/>
  <c r="R16" i="2" s="1"/>
  <c r="J16" i="2"/>
  <c r="I16" i="2"/>
  <c r="H16" i="2"/>
  <c r="G16" i="2"/>
  <c r="F16" i="2"/>
  <c r="E16" i="2"/>
  <c r="D16" i="2"/>
  <c r="P16" i="2" s="1"/>
  <c r="P15" i="2"/>
  <c r="P14" i="2"/>
  <c r="N13" i="2"/>
  <c r="L13" i="2"/>
  <c r="T12" i="2"/>
  <c r="N12" i="2"/>
  <c r="M12" i="2"/>
  <c r="L12" i="2"/>
  <c r="K12" i="2"/>
  <c r="K13" i="2" s="1"/>
  <c r="J12" i="2"/>
  <c r="J13" i="2" s="1"/>
  <c r="I12" i="2"/>
  <c r="I13" i="2" s="1"/>
  <c r="H12" i="2"/>
  <c r="H13" i="2" s="1"/>
  <c r="G12" i="2"/>
  <c r="G13" i="2" s="1"/>
  <c r="F12" i="2"/>
  <c r="F13" i="2" s="1"/>
  <c r="E12" i="2"/>
  <c r="E13" i="2" s="1"/>
  <c r="D12" i="2"/>
  <c r="D13" i="2" s="1"/>
  <c r="O11" i="2"/>
  <c r="O12" i="2" s="1"/>
  <c r="O13" i="2" s="1"/>
  <c r="L11" i="2"/>
  <c r="K11" i="2"/>
  <c r="J11" i="2"/>
  <c r="I11" i="2"/>
  <c r="H11" i="2"/>
  <c r="G11" i="2"/>
  <c r="F11" i="2"/>
  <c r="E11" i="2"/>
  <c r="P11" i="2" s="1"/>
  <c r="P10" i="2"/>
  <c r="T9" i="2"/>
  <c r="O9" i="2"/>
  <c r="N9" i="2"/>
  <c r="M9" i="2"/>
  <c r="M13" i="2" s="1"/>
  <c r="L9" i="2"/>
  <c r="K9" i="2"/>
  <c r="J9" i="2"/>
  <c r="I9" i="2"/>
  <c r="H9" i="2"/>
  <c r="G9" i="2"/>
  <c r="F9" i="2"/>
  <c r="E9" i="2"/>
  <c r="D9" i="2"/>
  <c r="P9" i="2" s="1"/>
  <c r="P8" i="2"/>
  <c r="G8" i="2"/>
  <c r="F8" i="2"/>
  <c r="E8" i="2"/>
  <c r="P7" i="2"/>
  <c r="O6" i="2"/>
  <c r="N6" i="2"/>
  <c r="M6" i="2"/>
  <c r="T6" i="2" s="1"/>
  <c r="L6" i="2"/>
  <c r="K6" i="2"/>
  <c r="J6" i="2"/>
  <c r="I6" i="2"/>
  <c r="H6" i="2"/>
  <c r="D6" i="2"/>
  <c r="G5" i="2"/>
  <c r="G6" i="2" s="1"/>
  <c r="F5" i="2"/>
  <c r="F6" i="2" s="1"/>
  <c r="E5" i="2"/>
  <c r="E6" i="2" s="1"/>
  <c r="P4" i="2"/>
  <c r="S22" i="2" l="1"/>
  <c r="L23" i="2"/>
  <c r="P29" i="2"/>
  <c r="P33" i="2" s="1"/>
  <c r="E33" i="2"/>
  <c r="F33" i="2"/>
  <c r="P6" i="2"/>
  <c r="G33" i="2"/>
  <c r="M23" i="2"/>
  <c r="T22" i="2"/>
  <c r="O23" i="2"/>
  <c r="V22" i="2"/>
  <c r="K23" i="2"/>
  <c r="R22" i="2"/>
  <c r="P12" i="2"/>
  <c r="P13" i="2" s="1"/>
  <c r="P5" i="2"/>
  <c r="P31" i="2"/>
  <c r="E26" i="2"/>
  <c r="P26" i="2" s="1"/>
  <c r="R32" i="2"/>
  <c r="L33" i="2"/>
  <c r="P28" i="2"/>
  <c r="P21" i="2"/>
  <c r="U22" i="2"/>
  <c r="T32" i="2"/>
  <c r="P22" i="2"/>
  <c r="P23" i="2" s="1"/>
  <c r="U32" i="2"/>
  <c r="V32" i="2"/>
</calcChain>
</file>

<file path=xl/sharedStrings.xml><?xml version="1.0" encoding="utf-8"?>
<sst xmlns="http://schemas.openxmlformats.org/spreadsheetml/2006/main" count="59" uniqueCount="30">
  <si>
    <t>فعاليت ترانزيت، صادره و وارده به تفكيك نفتي وغيرنفتي درسال 1403</t>
  </si>
  <si>
    <t>شرح</t>
  </si>
  <si>
    <t>ماه</t>
  </si>
  <si>
    <t>جمع</t>
  </si>
  <si>
    <t xml:space="preserve">فروردین </t>
  </si>
  <si>
    <t xml:space="preserve">اردیبهشت </t>
  </si>
  <si>
    <t>خرداد</t>
  </si>
  <si>
    <t>تیر</t>
  </si>
  <si>
    <t>مرداد</t>
  </si>
  <si>
    <t>شهریور</t>
  </si>
  <si>
    <t>مهر</t>
  </si>
  <si>
    <t>آبان</t>
  </si>
  <si>
    <t>آذر</t>
  </si>
  <si>
    <t>دی</t>
  </si>
  <si>
    <t>بهمن</t>
  </si>
  <si>
    <t>اسفند</t>
  </si>
  <si>
    <t>ترانزيت</t>
  </si>
  <si>
    <t>تعدادواگن</t>
  </si>
  <si>
    <t>نفتي</t>
  </si>
  <si>
    <t>غيرنفتي</t>
  </si>
  <si>
    <t>كل</t>
  </si>
  <si>
    <t>تناژ بار</t>
  </si>
  <si>
    <t>تن كيلومتر</t>
  </si>
  <si>
    <t>متوسط سيربارترانزيت</t>
  </si>
  <si>
    <t>صادره</t>
  </si>
  <si>
    <t>متوسط سيربارصادره</t>
  </si>
  <si>
    <t>وارده</t>
  </si>
  <si>
    <t>تناژبار</t>
  </si>
  <si>
    <t>متوسط سيرباروارده</t>
  </si>
  <si>
    <t>ماخذ : اداره كل سير و حركت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</si>
</sst>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6"/>
      <name val="B Jalal"/>
      <charset val="178"/>
    </font>
    <font>
      <sz val="11"/>
      <color theme="1"/>
      <name val="Arial"/>
      <family val="2"/>
    </font>
    <font>
      <b/>
      <sz val="11"/>
      <name val="B Jalal"/>
      <charset val="178"/>
    </font>
    <font>
      <sz val="11"/>
      <color theme="1"/>
      <name val="B Jalal"/>
      <charset val="178"/>
    </font>
    <font>
      <b/>
      <sz val="11"/>
      <color theme="1"/>
      <name val="B Jalal"/>
      <charset val="178"/>
    </font>
    <font>
      <b/>
      <sz val="10"/>
      <name val="B Jalal"/>
      <charset val="178"/>
    </font>
    <font>
      <sz val="20"/>
      <color theme="1"/>
      <name val="Arial"/>
      <family val="2"/>
    </font>
    <font>
      <sz val="10"/>
      <name val="B Jalal"/>
      <charset val="178"/>
    </font>
    <font>
      <b/>
      <sz val="10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3" fontId="2" fillId="0" borderId="0" xfId="1" applyNumberFormat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3" fontId="3" fillId="0" borderId="0" xfId="1" applyNumberFormat="1" applyFont="1" applyAlignment="1">
      <alignment vertical="center"/>
    </xf>
    <xf numFmtId="3" fontId="4" fillId="0" borderId="1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4" fillId="0" borderId="4" xfId="1" applyNumberFormat="1" applyFont="1" applyBorder="1" applyAlignment="1">
      <alignment horizontal="center" vertical="center"/>
    </xf>
    <xf numFmtId="3" fontId="4" fillId="0" borderId="5" xfId="1" applyNumberFormat="1" applyFont="1" applyBorder="1" applyAlignment="1">
      <alignment horizontal="center" vertical="center"/>
    </xf>
    <xf numFmtId="3" fontId="4" fillId="0" borderId="6" xfId="1" applyNumberFormat="1" applyFont="1" applyBorder="1" applyAlignment="1">
      <alignment horizontal="center" vertical="center"/>
    </xf>
    <xf numFmtId="3" fontId="6" fillId="2" borderId="7" xfId="1" applyNumberFormat="1" applyFont="1" applyFill="1" applyBorder="1" applyAlignment="1">
      <alignment horizontal="center" vertical="center"/>
    </xf>
    <xf numFmtId="3" fontId="5" fillId="0" borderId="8" xfId="1" applyNumberFormat="1" applyFont="1" applyBorder="1" applyAlignment="1">
      <alignment horizontal="center" vertical="center"/>
    </xf>
    <xf numFmtId="3" fontId="5" fillId="0" borderId="9" xfId="1" applyNumberFormat="1" applyFont="1" applyBorder="1" applyAlignment="1">
      <alignment horizontal="center" vertical="center"/>
    </xf>
    <xf numFmtId="3" fontId="5" fillId="0" borderId="10" xfId="1" applyNumberFormat="1" applyFont="1" applyBorder="1" applyAlignment="1">
      <alignment horizontal="center" vertical="center"/>
    </xf>
    <xf numFmtId="3" fontId="4" fillId="0" borderId="11" xfId="1" applyNumberFormat="1" applyFont="1" applyBorder="1" applyAlignment="1">
      <alignment horizontal="center" vertical="center"/>
    </xf>
    <xf numFmtId="3" fontId="4" fillId="0" borderId="12" xfId="1" applyNumberFormat="1" applyFont="1" applyBorder="1" applyAlignment="1">
      <alignment horizontal="center" vertical="center"/>
    </xf>
    <xf numFmtId="3" fontId="6" fillId="0" borderId="13" xfId="1" applyNumberFormat="1" applyFont="1" applyBorder="1" applyAlignment="1">
      <alignment horizontal="center" vertical="center"/>
    </xf>
    <xf numFmtId="3" fontId="6" fillId="0" borderId="14" xfId="1" applyNumberFormat="1" applyFont="1" applyBorder="1" applyAlignment="1">
      <alignment horizontal="center" vertical="center"/>
    </xf>
    <xf numFmtId="3" fontId="6" fillId="2" borderId="15" xfId="1" applyNumberFormat="1" applyFont="1" applyFill="1" applyBorder="1" applyAlignment="1">
      <alignment horizontal="center" vertical="center"/>
    </xf>
    <xf numFmtId="3" fontId="3" fillId="3" borderId="0" xfId="1" applyNumberFormat="1" applyFont="1" applyFill="1" applyAlignment="1">
      <alignment vertical="center"/>
    </xf>
    <xf numFmtId="3" fontId="7" fillId="0" borderId="16" xfId="1" applyNumberFormat="1" applyFont="1" applyBorder="1" applyAlignment="1">
      <alignment horizontal="center" vertical="center" textRotation="90"/>
    </xf>
    <xf numFmtId="3" fontId="4" fillId="0" borderId="2" xfId="1" applyNumberFormat="1" applyFont="1" applyBorder="1" applyAlignment="1">
      <alignment horizontal="center" vertical="center"/>
    </xf>
    <xf numFmtId="3" fontId="4" fillId="0" borderId="3" xfId="1" applyNumberFormat="1" applyFont="1" applyBorder="1" applyAlignment="1">
      <alignment horizontal="center" vertical="center"/>
    </xf>
    <xf numFmtId="3" fontId="4" fillId="0" borderId="17" xfId="1" applyNumberFormat="1" applyFont="1" applyBorder="1" applyAlignment="1">
      <alignment horizontal="center" vertical="center"/>
    </xf>
    <xf numFmtId="3" fontId="6" fillId="0" borderId="2" xfId="1" applyNumberFormat="1" applyFont="1" applyBorder="1" applyAlignment="1">
      <alignment horizontal="center" vertical="center"/>
    </xf>
    <xf numFmtId="3" fontId="6" fillId="0" borderId="18" xfId="1" applyNumberFormat="1" applyFont="1" applyBorder="1" applyAlignment="1">
      <alignment horizontal="center" vertical="center"/>
    </xf>
    <xf numFmtId="3" fontId="6" fillId="4" borderId="19" xfId="1" applyNumberFormat="1" applyFont="1" applyFill="1" applyBorder="1" applyAlignment="1">
      <alignment horizontal="center" vertical="center"/>
    </xf>
    <xf numFmtId="0" fontId="1" fillId="0" borderId="0" xfId="1"/>
    <xf numFmtId="0" fontId="1" fillId="0" borderId="0" xfId="1" applyAlignment="1">
      <alignment vertical="center"/>
    </xf>
    <xf numFmtId="3" fontId="7" fillId="0" borderId="20" xfId="1" applyNumberFormat="1" applyFont="1" applyBorder="1" applyAlignment="1">
      <alignment horizontal="center" vertical="center" textRotation="90"/>
    </xf>
    <xf numFmtId="3" fontId="4" fillId="0" borderId="21" xfId="1" applyNumberFormat="1" applyFont="1" applyBorder="1" applyAlignment="1">
      <alignment horizontal="center" vertical="center"/>
    </xf>
    <xf numFmtId="3" fontId="4" fillId="0" borderId="22" xfId="1" applyNumberFormat="1" applyFont="1" applyBorder="1" applyAlignment="1">
      <alignment horizontal="center" vertical="center"/>
    </xf>
    <xf numFmtId="3" fontId="4" fillId="0" borderId="23" xfId="1" applyNumberFormat="1" applyFont="1" applyBorder="1" applyAlignment="1">
      <alignment horizontal="center" vertical="center"/>
    </xf>
    <xf numFmtId="3" fontId="4" fillId="3" borderId="23" xfId="1" applyNumberFormat="1" applyFont="1" applyFill="1" applyBorder="1" applyAlignment="1">
      <alignment horizontal="center" vertical="center"/>
    </xf>
    <xf numFmtId="3" fontId="6" fillId="3" borderId="21" xfId="1" applyNumberFormat="1" applyFont="1" applyFill="1" applyBorder="1" applyAlignment="1">
      <alignment horizontal="center" vertical="center"/>
    </xf>
    <xf numFmtId="3" fontId="6" fillId="0" borderId="21" xfId="1" applyNumberFormat="1" applyFont="1" applyBorder="1" applyAlignment="1">
      <alignment horizontal="center" vertical="center"/>
    </xf>
    <xf numFmtId="3" fontId="4" fillId="5" borderId="22" xfId="1" applyNumberFormat="1" applyFont="1" applyFill="1" applyBorder="1" applyAlignment="1">
      <alignment horizontal="center" vertical="center"/>
    </xf>
    <xf numFmtId="3" fontId="4" fillId="5" borderId="21" xfId="1" applyNumberFormat="1" applyFont="1" applyFill="1" applyBorder="1" applyAlignment="1">
      <alignment horizontal="center" vertical="center"/>
    </xf>
    <xf numFmtId="3" fontId="6" fillId="5" borderId="19" xfId="1" applyNumberFormat="1" applyFont="1" applyFill="1" applyBorder="1" applyAlignment="1">
      <alignment horizontal="center" vertical="center"/>
    </xf>
    <xf numFmtId="3" fontId="1" fillId="0" borderId="0" xfId="1" applyNumberFormat="1" applyAlignment="1">
      <alignment vertical="center"/>
    </xf>
    <xf numFmtId="3" fontId="3" fillId="6" borderId="0" xfId="1" applyNumberFormat="1" applyFont="1" applyFill="1" applyAlignment="1">
      <alignment vertical="center"/>
    </xf>
    <xf numFmtId="3" fontId="4" fillId="0" borderId="21" xfId="1" applyNumberFormat="1" applyFont="1" applyBorder="1" applyAlignment="1">
      <alignment horizontal="center" vertical="center"/>
    </xf>
    <xf numFmtId="3" fontId="3" fillId="7" borderId="0" xfId="1" applyNumberFormat="1" applyFont="1" applyFill="1" applyAlignment="1">
      <alignment vertical="center"/>
    </xf>
    <xf numFmtId="3" fontId="6" fillId="0" borderId="21" xfId="2" applyNumberFormat="1" applyFont="1" applyBorder="1" applyAlignment="1">
      <alignment horizontal="center" vertical="center"/>
    </xf>
    <xf numFmtId="3" fontId="6" fillId="0" borderId="21" xfId="2" applyNumberFormat="1" applyFont="1" applyFill="1" applyBorder="1" applyAlignment="1">
      <alignment horizontal="center" vertical="center"/>
    </xf>
    <xf numFmtId="3" fontId="6" fillId="0" borderId="19" xfId="1" applyNumberFormat="1" applyFont="1" applyBorder="1" applyAlignment="1">
      <alignment horizontal="center" vertical="center"/>
    </xf>
    <xf numFmtId="3" fontId="4" fillId="0" borderId="24" xfId="1" applyNumberFormat="1" applyFont="1" applyBorder="1" applyAlignment="1">
      <alignment horizontal="center" vertical="center"/>
    </xf>
    <xf numFmtId="3" fontId="4" fillId="5" borderId="25" xfId="1" applyNumberFormat="1" applyFont="1" applyFill="1" applyBorder="1" applyAlignment="1">
      <alignment horizontal="center" vertical="center"/>
    </xf>
    <xf numFmtId="3" fontId="4" fillId="5" borderId="24" xfId="1" applyNumberFormat="1" applyFont="1" applyFill="1" applyBorder="1" applyAlignment="1">
      <alignment horizontal="center" vertical="center"/>
    </xf>
    <xf numFmtId="3" fontId="3" fillId="8" borderId="0" xfId="1" applyNumberFormat="1" applyFont="1" applyFill="1" applyAlignment="1">
      <alignment vertical="center"/>
    </xf>
    <xf numFmtId="3" fontId="7" fillId="0" borderId="26" xfId="1" applyNumberFormat="1" applyFont="1" applyBorder="1" applyAlignment="1">
      <alignment horizontal="center" vertical="center" textRotation="90"/>
    </xf>
    <xf numFmtId="3" fontId="4" fillId="2" borderId="14" xfId="1" applyNumberFormat="1" applyFont="1" applyFill="1" applyBorder="1" applyAlignment="1">
      <alignment horizontal="center" vertical="center"/>
    </xf>
    <xf numFmtId="3" fontId="5" fillId="2" borderId="6" xfId="1" applyNumberFormat="1" applyFont="1" applyFill="1" applyBorder="1" applyAlignment="1">
      <alignment horizontal="center" vertical="center"/>
    </xf>
    <xf numFmtId="3" fontId="4" fillId="2" borderId="27" xfId="1" applyNumberFormat="1" applyFont="1" applyFill="1" applyBorder="1" applyAlignment="1">
      <alignment horizontal="center" vertical="center"/>
    </xf>
    <xf numFmtId="3" fontId="6" fillId="2" borderId="28" xfId="1" applyNumberFormat="1" applyFont="1" applyFill="1" applyBorder="1" applyAlignment="1">
      <alignment horizontal="center" vertical="center"/>
    </xf>
    <xf numFmtId="3" fontId="7" fillId="0" borderId="29" xfId="1" applyNumberFormat="1" applyFont="1" applyBorder="1" applyAlignment="1">
      <alignment horizontal="center" vertical="center" textRotation="90"/>
    </xf>
    <xf numFmtId="3" fontId="4" fillId="0" borderId="18" xfId="1" applyNumberFormat="1" applyFont="1" applyBorder="1" applyAlignment="1">
      <alignment horizontal="center" vertical="center"/>
    </xf>
    <xf numFmtId="3" fontId="4" fillId="0" borderId="30" xfId="1" applyNumberFormat="1" applyFont="1" applyBorder="1" applyAlignment="1">
      <alignment horizontal="center" vertical="center"/>
    </xf>
    <xf numFmtId="3" fontId="4" fillId="4" borderId="17" xfId="1" applyNumberFormat="1" applyFont="1" applyFill="1" applyBorder="1" applyAlignment="1">
      <alignment horizontal="center" vertical="center"/>
    </xf>
    <xf numFmtId="3" fontId="6" fillId="4" borderId="31" xfId="1" applyNumberFormat="1" applyFont="1" applyFill="1" applyBorder="1" applyAlignment="1">
      <alignment horizontal="center" vertical="center"/>
    </xf>
    <xf numFmtId="3" fontId="4" fillId="5" borderId="23" xfId="1" applyNumberFormat="1" applyFont="1" applyFill="1" applyBorder="1" applyAlignment="1">
      <alignment horizontal="center" vertical="center"/>
    </xf>
    <xf numFmtId="3" fontId="6" fillId="5" borderId="31" xfId="1" applyNumberFormat="1" applyFont="1" applyFill="1" applyBorder="1" applyAlignment="1">
      <alignment horizontal="center" vertical="center"/>
    </xf>
    <xf numFmtId="3" fontId="8" fillId="0" borderId="32" xfId="1" applyNumberFormat="1" applyFont="1" applyBorder="1" applyAlignment="1">
      <alignment horizontal="center" vertical="center" wrapText="1"/>
    </xf>
    <xf numFmtId="3" fontId="6" fillId="0" borderId="24" xfId="1" applyNumberFormat="1" applyFont="1" applyBorder="1" applyAlignment="1">
      <alignment horizontal="center" vertical="center"/>
    </xf>
    <xf numFmtId="3" fontId="6" fillId="4" borderId="21" xfId="1" applyNumberFormat="1" applyFont="1" applyFill="1" applyBorder="1" applyAlignment="1">
      <alignment horizontal="center" vertical="center"/>
    </xf>
    <xf numFmtId="3" fontId="4" fillId="5" borderId="33" xfId="1" applyNumberFormat="1" applyFont="1" applyFill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3" fontId="4" fillId="0" borderId="34" xfId="1" applyNumberFormat="1" applyFont="1" applyBorder="1" applyAlignment="1">
      <alignment horizontal="center" vertical="center"/>
    </xf>
    <xf numFmtId="3" fontId="4" fillId="0" borderId="35" xfId="1" applyNumberFormat="1" applyFont="1" applyBorder="1" applyAlignment="1">
      <alignment horizontal="center" vertical="center"/>
    </xf>
    <xf numFmtId="3" fontId="4" fillId="3" borderId="36" xfId="1" applyNumberFormat="1" applyFont="1" applyFill="1" applyBorder="1" applyAlignment="1">
      <alignment horizontal="center" vertical="center"/>
    </xf>
    <xf numFmtId="3" fontId="4" fillId="4" borderId="23" xfId="1" applyNumberFormat="1" applyFont="1" applyFill="1" applyBorder="1" applyAlignment="1">
      <alignment horizontal="center" vertical="center"/>
    </xf>
    <xf numFmtId="3" fontId="3" fillId="0" borderId="32" xfId="1" applyNumberFormat="1" applyFont="1" applyBorder="1" applyAlignment="1">
      <alignment horizontal="center" vertical="center" wrapText="1"/>
    </xf>
    <xf numFmtId="3" fontId="4" fillId="2" borderId="28" xfId="1" applyNumberFormat="1" applyFont="1" applyFill="1" applyBorder="1" applyAlignment="1">
      <alignment horizontal="center" vertical="center"/>
    </xf>
    <xf numFmtId="3" fontId="9" fillId="0" borderId="37" xfId="1" applyNumberFormat="1" applyFont="1" applyBorder="1" applyAlignment="1">
      <alignment horizontal="center" vertical="center"/>
    </xf>
    <xf numFmtId="3" fontId="5" fillId="0" borderId="0" xfId="1" applyNumberFormat="1" applyFont="1" applyAlignment="1">
      <alignment horizontal="center" vertical="center"/>
    </xf>
    <xf numFmtId="3" fontId="10" fillId="0" borderId="0" xfId="1" applyNumberFormat="1" applyFont="1" applyAlignment="1">
      <alignment horizontal="center" vertical="center" textRotation="90"/>
    </xf>
    <xf numFmtId="3" fontId="10" fillId="0" borderId="0" xfId="1" applyNumberFormat="1" applyFont="1" applyAlignment="1">
      <alignment horizontal="center" vertical="center"/>
    </xf>
    <xf numFmtId="3" fontId="11" fillId="0" borderId="0" xfId="1" applyNumberFormat="1" applyFont="1" applyAlignment="1">
      <alignment horizontal="center" vertical="center"/>
    </xf>
    <xf numFmtId="3" fontId="10" fillId="0" borderId="0" xfId="1" applyNumberFormat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3" fontId="12" fillId="0" borderId="0" xfId="1" applyNumberFormat="1" applyFont="1" applyAlignment="1">
      <alignment horizontal="center" vertical="center"/>
    </xf>
  </cellXfs>
  <cellStyles count="3">
    <cellStyle name="Comma 2" xfId="2" xr:uid="{9F966A09-8412-4109-AD3F-95EFE3ECCCFF}"/>
    <cellStyle name="Normal" xfId="0" builtinId="0"/>
    <cellStyle name="Normal 2" xfId="1" xr:uid="{510856BB-60B0-4F4D-B6DD-A15DFEC599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607;&#1585;&#1607;%20&#1576;&#1585;&#1583;&#1575;&#1585;&#17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ناژوتن کیلومتر"/>
      <sheetName val="تفکیک کالا "/>
      <sheetName val="تعدادواگن بارگیری شده"/>
      <sheetName val="تعداد واگن وارده&amp;صادره"/>
      <sheetName val="تناژ وارده&amp;صادره "/>
      <sheetName val="تن کیلومتر وارده&amp;صادره "/>
      <sheetName val="ترانزیت نفتی و غیر نفتی"/>
      <sheetName val="ترانزیت "/>
      <sheetName val="کارکرد باري"/>
      <sheetName val="کارکرد مسافری"/>
      <sheetName val="ترتیب بار"/>
      <sheetName val="ترتیب مسافر"/>
    </sheetNames>
    <sheetDataSet>
      <sheetData sheetId="0"/>
      <sheetData sheetId="1"/>
      <sheetData sheetId="2"/>
      <sheetData sheetId="3">
        <row r="18">
          <cell r="J18">
            <v>661</v>
          </cell>
          <cell r="K18">
            <v>1198</v>
          </cell>
          <cell r="L18">
            <v>965</v>
          </cell>
          <cell r="M18">
            <v>922</v>
          </cell>
          <cell r="N18">
            <v>1002</v>
          </cell>
        </row>
        <row r="40">
          <cell r="J40">
            <v>4878</v>
          </cell>
          <cell r="K40">
            <v>3800</v>
          </cell>
          <cell r="L40">
            <v>3730</v>
          </cell>
          <cell r="M40">
            <v>4709</v>
          </cell>
          <cell r="N40">
            <v>5388</v>
          </cell>
        </row>
      </sheetData>
      <sheetData sheetId="4">
        <row r="17">
          <cell r="J17">
            <v>33704</v>
          </cell>
          <cell r="K17">
            <v>69808</v>
          </cell>
          <cell r="L17">
            <v>49540</v>
          </cell>
          <cell r="M17">
            <v>47634</v>
          </cell>
          <cell r="N17">
            <v>51302</v>
          </cell>
        </row>
        <row r="38">
          <cell r="J38">
            <v>291519</v>
          </cell>
          <cell r="K38">
            <v>217920</v>
          </cell>
          <cell r="L38">
            <v>223541</v>
          </cell>
          <cell r="M38">
            <v>288982</v>
          </cell>
          <cell r="N38">
            <v>315474</v>
          </cell>
        </row>
      </sheetData>
      <sheetData sheetId="5">
        <row r="17">
          <cell r="J17">
            <v>9574418</v>
          </cell>
          <cell r="K17">
            <v>16590033</v>
          </cell>
          <cell r="L17">
            <v>10470969</v>
          </cell>
          <cell r="M17">
            <v>18520790</v>
          </cell>
          <cell r="N17">
            <v>11541253</v>
          </cell>
        </row>
        <row r="40">
          <cell r="J40">
            <v>109284425</v>
          </cell>
          <cell r="K40">
            <v>73127206</v>
          </cell>
          <cell r="L40">
            <v>68367466</v>
          </cell>
          <cell r="M40">
            <v>89464200</v>
          </cell>
          <cell r="N40">
            <v>128661039</v>
          </cell>
        </row>
      </sheetData>
      <sheetData sheetId="6"/>
      <sheetData sheetId="7">
        <row r="229">
          <cell r="L229">
            <v>3387</v>
          </cell>
        </row>
        <row r="230">
          <cell r="L230">
            <v>170766</v>
          </cell>
        </row>
        <row r="231">
          <cell r="L231">
            <v>154486443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5B7C3-5D93-4890-A6AD-A97DE24EED02}">
  <sheetPr>
    <tabColor rgb="FF00B050"/>
  </sheetPr>
  <dimension ref="A1:W63"/>
  <sheetViews>
    <sheetView rightToLeft="1" tabSelected="1" view="pageBreakPreview" zoomScale="85" zoomScaleNormal="85" zoomScaleSheetLayoutView="85" workbookViewId="0">
      <pane xSplit="2" ySplit="3" topLeftCell="C4" activePane="bottomRight" state="frozen"/>
      <selection activeCell="C75" sqref="C75"/>
      <selection pane="topRight" activeCell="C75" sqref="C75"/>
      <selection pane="bottomLeft" activeCell="C75" sqref="C75"/>
      <selection pane="bottomRight" activeCell="O12" sqref="O12"/>
    </sheetView>
  </sheetViews>
  <sheetFormatPr defaultColWidth="9" defaultRowHeight="14.25" x14ac:dyDescent="0.2"/>
  <cols>
    <col min="1" max="1" width="7.125" style="2" customWidth="1"/>
    <col min="2" max="2" width="8.625" style="2" customWidth="1"/>
    <col min="3" max="3" width="7.75" style="2" bestFit="1" customWidth="1"/>
    <col min="4" max="11" width="2.75" style="2" customWidth="1"/>
    <col min="12" max="12" width="9.625" style="2" customWidth="1"/>
    <col min="13" max="13" width="14.25" style="2" customWidth="1"/>
    <col min="14" max="14" width="13.625" style="2" customWidth="1"/>
    <col min="15" max="15" width="14" style="2" customWidth="1"/>
    <col min="16" max="16" width="16.75" style="2" customWidth="1"/>
    <col min="17" max="17" width="23.25" style="2" customWidth="1"/>
    <col min="18" max="19" width="12.25" style="3" customWidth="1"/>
    <col min="20" max="20" width="15.625" style="3" bestFit="1" customWidth="1"/>
    <col min="21" max="21" width="11" style="3" bestFit="1" customWidth="1"/>
    <col min="22" max="22" width="24" style="3" bestFit="1" customWidth="1"/>
    <col min="23" max="23" width="9" style="3"/>
    <col min="24" max="16384" width="9" style="2"/>
  </cols>
  <sheetData>
    <row r="1" spans="1:22" ht="30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2" ht="21.75" thickBot="1" x14ac:dyDescent="0.25">
      <c r="A2" s="4" t="s">
        <v>1</v>
      </c>
      <c r="B2" s="5"/>
      <c r="C2" s="6"/>
      <c r="D2" s="7" t="s">
        <v>2</v>
      </c>
      <c r="E2" s="8"/>
      <c r="F2" s="8"/>
      <c r="G2" s="8"/>
      <c r="H2" s="8"/>
      <c r="I2" s="8"/>
      <c r="J2" s="8"/>
      <c r="K2" s="8"/>
      <c r="L2" s="8"/>
      <c r="M2" s="8"/>
      <c r="N2" s="8"/>
      <c r="O2" s="9"/>
      <c r="P2" s="10" t="s">
        <v>3</v>
      </c>
    </row>
    <row r="3" spans="1:22" ht="21.75" thickBot="1" x14ac:dyDescent="0.25">
      <c r="A3" s="11"/>
      <c r="B3" s="12"/>
      <c r="C3" s="13"/>
      <c r="D3" s="14" t="s">
        <v>4</v>
      </c>
      <c r="E3" s="15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6" t="s">
        <v>12</v>
      </c>
      <c r="M3" s="16" t="s">
        <v>13</v>
      </c>
      <c r="N3" s="16" t="s">
        <v>14</v>
      </c>
      <c r="O3" s="17" t="s">
        <v>15</v>
      </c>
      <c r="P3" s="18"/>
      <c r="T3" s="19"/>
      <c r="U3" s="19"/>
    </row>
    <row r="4" spans="1:22" ht="21" customHeight="1" x14ac:dyDescent="0.2">
      <c r="A4" s="20" t="s">
        <v>16</v>
      </c>
      <c r="B4" s="21" t="s">
        <v>17</v>
      </c>
      <c r="C4" s="22" t="s">
        <v>18</v>
      </c>
      <c r="D4" s="23">
        <v>306</v>
      </c>
      <c r="E4" s="23">
        <v>510</v>
      </c>
      <c r="F4" s="24">
        <v>206</v>
      </c>
      <c r="G4" s="25">
        <v>299</v>
      </c>
      <c r="H4" s="25">
        <v>296</v>
      </c>
      <c r="I4" s="25">
        <v>537</v>
      </c>
      <c r="J4" s="25">
        <v>689</v>
      </c>
      <c r="K4" s="25">
        <v>509</v>
      </c>
      <c r="L4" s="25">
        <v>859</v>
      </c>
      <c r="M4" s="25">
        <v>810</v>
      </c>
      <c r="N4" s="25">
        <v>976</v>
      </c>
      <c r="O4" s="25">
        <v>891</v>
      </c>
      <c r="P4" s="26">
        <f t="shared" ref="P4:P11" si="0">SUM(D4:O4)</f>
        <v>6888</v>
      </c>
      <c r="Q4" s="27"/>
      <c r="R4" s="28"/>
      <c r="S4" s="28"/>
      <c r="T4" s="19"/>
      <c r="U4" s="19"/>
    </row>
    <row r="5" spans="1:22" ht="21" customHeight="1" x14ac:dyDescent="0.2">
      <c r="A5" s="29"/>
      <c r="B5" s="30"/>
      <c r="C5" s="31" t="s">
        <v>19</v>
      </c>
      <c r="D5" s="32">
        <v>3955</v>
      </c>
      <c r="E5" s="33">
        <f>3360-38</f>
        <v>3322</v>
      </c>
      <c r="F5" s="34">
        <f>3426-361</f>
        <v>3065</v>
      </c>
      <c r="G5" s="34">
        <f>2566-62</f>
        <v>2504</v>
      </c>
      <c r="H5" s="35">
        <v>2484</v>
      </c>
      <c r="I5" s="35">
        <v>1891</v>
      </c>
      <c r="J5" s="35">
        <v>2092</v>
      </c>
      <c r="K5" s="35">
        <v>2175</v>
      </c>
      <c r="L5" s="35">
        <v>2673</v>
      </c>
      <c r="M5" s="34">
        <v>2577</v>
      </c>
      <c r="N5" s="35">
        <v>2798</v>
      </c>
      <c r="O5" s="35">
        <v>1847</v>
      </c>
      <c r="P5" s="26">
        <f t="shared" si="0"/>
        <v>31383</v>
      </c>
      <c r="Q5" s="27"/>
      <c r="R5" s="28"/>
      <c r="S5" s="28"/>
      <c r="T5" s="19"/>
      <c r="U5" s="19"/>
    </row>
    <row r="6" spans="1:22" ht="21" customHeight="1" x14ac:dyDescent="0.2">
      <c r="A6" s="29"/>
      <c r="B6" s="30"/>
      <c r="C6" s="36" t="s">
        <v>20</v>
      </c>
      <c r="D6" s="37">
        <f t="shared" ref="D6:O6" si="1">SUM(D4:D5)</f>
        <v>4261</v>
      </c>
      <c r="E6" s="37">
        <f t="shared" si="1"/>
        <v>3832</v>
      </c>
      <c r="F6" s="37">
        <f t="shared" si="1"/>
        <v>3271</v>
      </c>
      <c r="G6" s="37">
        <f t="shared" si="1"/>
        <v>2803</v>
      </c>
      <c r="H6" s="37">
        <f t="shared" si="1"/>
        <v>2780</v>
      </c>
      <c r="I6" s="37">
        <f t="shared" si="1"/>
        <v>2428</v>
      </c>
      <c r="J6" s="37">
        <f t="shared" si="1"/>
        <v>2781</v>
      </c>
      <c r="K6" s="37">
        <f t="shared" si="1"/>
        <v>2684</v>
      </c>
      <c r="L6" s="37">
        <f t="shared" si="1"/>
        <v>3532</v>
      </c>
      <c r="M6" s="37">
        <f t="shared" si="1"/>
        <v>3387</v>
      </c>
      <c r="N6" s="37">
        <f t="shared" si="1"/>
        <v>3774</v>
      </c>
      <c r="O6" s="37">
        <f t="shared" si="1"/>
        <v>2738</v>
      </c>
      <c r="P6" s="38">
        <f>SUM(D6:O6)</f>
        <v>38271</v>
      </c>
      <c r="Q6" s="27"/>
      <c r="R6" s="28"/>
      <c r="S6" s="28"/>
      <c r="T6" s="39">
        <f>+M6-'[1]ترانزیت '!L229</f>
        <v>0</v>
      </c>
      <c r="U6" s="40"/>
    </row>
    <row r="7" spans="1:22" ht="21" customHeight="1" x14ac:dyDescent="0.2">
      <c r="A7" s="29"/>
      <c r="B7" s="30" t="s">
        <v>21</v>
      </c>
      <c r="C7" s="31" t="s">
        <v>18</v>
      </c>
      <c r="D7" s="41">
        <v>17380</v>
      </c>
      <c r="E7" s="32">
        <v>29045</v>
      </c>
      <c r="F7" s="35">
        <v>11602</v>
      </c>
      <c r="G7" s="35">
        <v>17884</v>
      </c>
      <c r="H7" s="35">
        <v>16605</v>
      </c>
      <c r="I7" s="35">
        <v>30512</v>
      </c>
      <c r="J7" s="35">
        <v>38699</v>
      </c>
      <c r="K7" s="35">
        <v>28486</v>
      </c>
      <c r="L7" s="35">
        <v>47551</v>
      </c>
      <c r="M7" s="35">
        <v>45031</v>
      </c>
      <c r="N7" s="35">
        <v>54882</v>
      </c>
      <c r="O7" s="35">
        <v>50797</v>
      </c>
      <c r="P7" s="26">
        <f t="shared" si="0"/>
        <v>388474</v>
      </c>
      <c r="Q7" s="27"/>
      <c r="R7" s="28"/>
      <c r="S7" s="28"/>
      <c r="U7" s="40"/>
    </row>
    <row r="8" spans="1:22" ht="21" customHeight="1" x14ac:dyDescent="0.2">
      <c r="A8" s="29"/>
      <c r="B8" s="30"/>
      <c r="C8" s="31" t="s">
        <v>19</v>
      </c>
      <c r="D8" s="41">
        <v>242408</v>
      </c>
      <c r="E8" s="33">
        <f>193665-1532</f>
        <v>192133</v>
      </c>
      <c r="F8" s="34">
        <f>177762-14357</f>
        <v>163405</v>
      </c>
      <c r="G8" s="34">
        <f>124580-1950</f>
        <v>122630</v>
      </c>
      <c r="H8" s="35">
        <v>120356</v>
      </c>
      <c r="I8" s="35">
        <v>98237</v>
      </c>
      <c r="J8" s="35">
        <v>113903</v>
      </c>
      <c r="K8" s="35">
        <v>112249</v>
      </c>
      <c r="L8" s="35">
        <v>124711</v>
      </c>
      <c r="M8" s="34">
        <v>125735</v>
      </c>
      <c r="N8" s="35">
        <v>120184</v>
      </c>
      <c r="O8" s="35">
        <v>84510</v>
      </c>
      <c r="P8" s="26">
        <f t="shared" si="0"/>
        <v>1620461</v>
      </c>
      <c r="U8" s="40"/>
    </row>
    <row r="9" spans="1:22" ht="21" customHeight="1" x14ac:dyDescent="0.2">
      <c r="A9" s="29"/>
      <c r="B9" s="30"/>
      <c r="C9" s="36" t="s">
        <v>20</v>
      </c>
      <c r="D9" s="37">
        <f t="shared" ref="D9:O9" si="2">SUM(D7:D8)</f>
        <v>259788</v>
      </c>
      <c r="E9" s="37">
        <f t="shared" si="2"/>
        <v>221178</v>
      </c>
      <c r="F9" s="37">
        <f t="shared" si="2"/>
        <v>175007</v>
      </c>
      <c r="G9" s="37">
        <f t="shared" si="2"/>
        <v>140514</v>
      </c>
      <c r="H9" s="37">
        <f t="shared" si="2"/>
        <v>136961</v>
      </c>
      <c r="I9" s="37">
        <f t="shared" si="2"/>
        <v>128749</v>
      </c>
      <c r="J9" s="37">
        <f t="shared" si="2"/>
        <v>152602</v>
      </c>
      <c r="K9" s="37">
        <f t="shared" si="2"/>
        <v>140735</v>
      </c>
      <c r="L9" s="37">
        <f t="shared" si="2"/>
        <v>172262</v>
      </c>
      <c r="M9" s="37">
        <f t="shared" si="2"/>
        <v>170766</v>
      </c>
      <c r="N9" s="37">
        <f t="shared" si="2"/>
        <v>175066</v>
      </c>
      <c r="O9" s="37">
        <f t="shared" si="2"/>
        <v>135307</v>
      </c>
      <c r="P9" s="38">
        <f>SUM(D9:O9)</f>
        <v>2008935</v>
      </c>
      <c r="R9" s="28"/>
      <c r="S9" s="28"/>
      <c r="T9" s="3">
        <f>+M9-'[1]ترانزیت '!L230</f>
        <v>0</v>
      </c>
      <c r="U9" s="42"/>
    </row>
    <row r="10" spans="1:22" ht="21" customHeight="1" x14ac:dyDescent="0.2">
      <c r="A10" s="29"/>
      <c r="B10" s="30" t="s">
        <v>22</v>
      </c>
      <c r="C10" s="31" t="s">
        <v>18</v>
      </c>
      <c r="D10" s="32">
        <v>2929961</v>
      </c>
      <c r="E10" s="32">
        <v>6014541</v>
      </c>
      <c r="F10" s="35">
        <v>2060760</v>
      </c>
      <c r="G10" s="35">
        <v>2892465</v>
      </c>
      <c r="H10" s="35">
        <v>2604463</v>
      </c>
      <c r="I10" s="43">
        <v>5100685</v>
      </c>
      <c r="J10" s="44">
        <v>6567120</v>
      </c>
      <c r="K10" s="35">
        <v>10346380</v>
      </c>
      <c r="L10" s="35">
        <v>33568218</v>
      </c>
      <c r="M10" s="35">
        <v>29471833</v>
      </c>
      <c r="N10" s="35">
        <v>34999605</v>
      </c>
      <c r="O10" s="35">
        <v>19648274</v>
      </c>
      <c r="P10" s="26">
        <f t="shared" si="0"/>
        <v>156204305</v>
      </c>
      <c r="R10" s="28"/>
      <c r="S10" s="28"/>
      <c r="U10" s="42"/>
    </row>
    <row r="11" spans="1:22" ht="21" customHeight="1" x14ac:dyDescent="0.2">
      <c r="A11" s="29"/>
      <c r="B11" s="30"/>
      <c r="C11" s="31" t="s">
        <v>19</v>
      </c>
      <c r="D11" s="32">
        <v>358443446</v>
      </c>
      <c r="E11" s="33">
        <f>291405726-891071</f>
        <v>290514655</v>
      </c>
      <c r="F11" s="34">
        <f>255268370+2-8288341</f>
        <v>246980031</v>
      </c>
      <c r="G11" s="34">
        <f>162297405+3-1134196</f>
        <v>161163212</v>
      </c>
      <c r="H11" s="35">
        <f>147259225-2</f>
        <v>147259223</v>
      </c>
      <c r="I11" s="43">
        <f>110858673+1</f>
        <v>110858674</v>
      </c>
      <c r="J11" s="44">
        <f>121289115-3</f>
        <v>121289112</v>
      </c>
      <c r="K11" s="35">
        <f>127492398-3</f>
        <v>127492395</v>
      </c>
      <c r="L11" s="35">
        <f>133050889-2</f>
        <v>133050887</v>
      </c>
      <c r="M11" s="34">
        <v>125014612</v>
      </c>
      <c r="N11" s="35">
        <v>127623507</v>
      </c>
      <c r="O11" s="35">
        <f>72176443+1</f>
        <v>72176444</v>
      </c>
      <c r="P11" s="45">
        <f t="shared" si="0"/>
        <v>2021866198</v>
      </c>
      <c r="R11" s="28"/>
      <c r="S11" s="28"/>
      <c r="U11" s="42"/>
    </row>
    <row r="12" spans="1:22" ht="21" customHeight="1" thickBot="1" x14ac:dyDescent="0.25">
      <c r="A12" s="29"/>
      <c r="B12" s="46"/>
      <c r="C12" s="47" t="s">
        <v>20</v>
      </c>
      <c r="D12" s="48">
        <f t="shared" ref="D12:O12" si="3">SUM(D10:D11)</f>
        <v>361373407</v>
      </c>
      <c r="E12" s="48">
        <f t="shared" si="3"/>
        <v>296529196</v>
      </c>
      <c r="F12" s="48">
        <f t="shared" si="3"/>
        <v>249040791</v>
      </c>
      <c r="G12" s="48">
        <f t="shared" si="3"/>
        <v>164055677</v>
      </c>
      <c r="H12" s="48">
        <f t="shared" si="3"/>
        <v>149863686</v>
      </c>
      <c r="I12" s="48">
        <f t="shared" si="3"/>
        <v>115959359</v>
      </c>
      <c r="J12" s="48">
        <f t="shared" si="3"/>
        <v>127856232</v>
      </c>
      <c r="K12" s="48">
        <f t="shared" si="3"/>
        <v>137838775</v>
      </c>
      <c r="L12" s="48">
        <f t="shared" si="3"/>
        <v>166619105</v>
      </c>
      <c r="M12" s="48">
        <f t="shared" si="3"/>
        <v>154486445</v>
      </c>
      <c r="N12" s="48">
        <f t="shared" si="3"/>
        <v>162623112</v>
      </c>
      <c r="O12" s="48">
        <f t="shared" si="3"/>
        <v>91824718</v>
      </c>
      <c r="P12" s="38">
        <f>SUM(D12:O12)</f>
        <v>2178070503</v>
      </c>
      <c r="T12" s="3">
        <f>+M12-'[1]ترانزیت '!L231</f>
        <v>2</v>
      </c>
      <c r="U12" s="49"/>
    </row>
    <row r="13" spans="1:22" ht="19.5" customHeight="1" thickBot="1" x14ac:dyDescent="0.25">
      <c r="A13" s="50"/>
      <c r="B13" s="51" t="s">
        <v>23</v>
      </c>
      <c r="C13" s="52"/>
      <c r="D13" s="53">
        <f t="shared" ref="D13:O13" si="4">D12/D9</f>
        <v>1391.0319452784579</v>
      </c>
      <c r="E13" s="53">
        <f t="shared" si="4"/>
        <v>1340.6812431616165</v>
      </c>
      <c r="F13" s="53">
        <f t="shared" si="4"/>
        <v>1423.0333129531962</v>
      </c>
      <c r="G13" s="53">
        <f t="shared" si="4"/>
        <v>1167.5397255789458</v>
      </c>
      <c r="H13" s="53">
        <f t="shared" si="4"/>
        <v>1094.207007834347</v>
      </c>
      <c r="I13" s="53">
        <f t="shared" si="4"/>
        <v>900.66221096862887</v>
      </c>
      <c r="J13" s="53">
        <f t="shared" si="4"/>
        <v>837.84112921193696</v>
      </c>
      <c r="K13" s="53">
        <f>K12/K9</f>
        <v>979.42071979251784</v>
      </c>
      <c r="L13" s="53">
        <f t="shared" si="4"/>
        <v>967.24236918182771</v>
      </c>
      <c r="M13" s="53">
        <f t="shared" si="4"/>
        <v>904.66746893409697</v>
      </c>
      <c r="N13" s="53">
        <f t="shared" si="4"/>
        <v>928.92458844093085</v>
      </c>
      <c r="O13" s="53">
        <f t="shared" si="4"/>
        <v>678.63981907809648</v>
      </c>
      <c r="P13" s="54">
        <f>+P12/P9</f>
        <v>1084.1916254134653</v>
      </c>
      <c r="Q13" s="27"/>
      <c r="R13" s="28"/>
      <c r="S13" s="28"/>
      <c r="T13" s="49"/>
      <c r="U13" s="49"/>
    </row>
    <row r="14" spans="1:22" ht="20.25" customHeight="1" x14ac:dyDescent="0.2">
      <c r="A14" s="55" t="s">
        <v>24</v>
      </c>
      <c r="B14" s="56" t="s">
        <v>17</v>
      </c>
      <c r="C14" s="57" t="s">
        <v>18</v>
      </c>
      <c r="D14" s="23">
        <v>30</v>
      </c>
      <c r="E14" s="58">
        <v>17</v>
      </c>
      <c r="F14" s="25">
        <v>8</v>
      </c>
      <c r="G14" s="25">
        <v>22</v>
      </c>
      <c r="H14" s="25">
        <v>65</v>
      </c>
      <c r="I14" s="25">
        <v>12</v>
      </c>
      <c r="J14" s="25">
        <v>41</v>
      </c>
      <c r="K14" s="25">
        <v>213</v>
      </c>
      <c r="L14" s="25">
        <v>115</v>
      </c>
      <c r="M14" s="25">
        <v>133</v>
      </c>
      <c r="N14" s="25">
        <v>137</v>
      </c>
      <c r="O14" s="25">
        <v>172</v>
      </c>
      <c r="P14" s="26">
        <f t="shared" ref="P14:P22" si="5">SUM(D14:O14)</f>
        <v>965</v>
      </c>
      <c r="Q14" s="27"/>
      <c r="R14" s="28"/>
      <c r="S14" s="28"/>
      <c r="T14" s="49"/>
      <c r="U14" s="49"/>
    </row>
    <row r="15" spans="1:22" ht="20.25" customHeight="1" x14ac:dyDescent="0.2">
      <c r="A15" s="29"/>
      <c r="B15" s="30"/>
      <c r="C15" s="31" t="s">
        <v>19</v>
      </c>
      <c r="D15" s="32">
        <v>2961</v>
      </c>
      <c r="E15" s="32">
        <v>3674</v>
      </c>
      <c r="F15" s="35">
        <v>3049</v>
      </c>
      <c r="G15" s="35">
        <v>3893</v>
      </c>
      <c r="H15" s="35">
        <v>4847</v>
      </c>
      <c r="I15" s="35">
        <v>4301</v>
      </c>
      <c r="J15" s="35">
        <v>4118</v>
      </c>
      <c r="K15" s="35">
        <v>4665</v>
      </c>
      <c r="L15" s="35">
        <v>3685</v>
      </c>
      <c r="M15" s="35">
        <v>3597</v>
      </c>
      <c r="N15" s="35">
        <v>4572</v>
      </c>
      <c r="O15" s="35">
        <v>5216</v>
      </c>
      <c r="P15" s="59">
        <f t="shared" si="5"/>
        <v>48578</v>
      </c>
      <c r="Q15" s="27"/>
      <c r="R15" s="28"/>
      <c r="S15" s="28"/>
    </row>
    <row r="16" spans="1:22" ht="20.25" customHeight="1" x14ac:dyDescent="0.2">
      <c r="A16" s="29"/>
      <c r="B16" s="30"/>
      <c r="C16" s="36" t="s">
        <v>20</v>
      </c>
      <c r="D16" s="60">
        <f t="shared" ref="D16:O16" si="6">SUM(D14:D15)</f>
        <v>2991</v>
      </c>
      <c r="E16" s="60">
        <f t="shared" si="6"/>
        <v>3691</v>
      </c>
      <c r="F16" s="60">
        <f t="shared" si="6"/>
        <v>3057</v>
      </c>
      <c r="G16" s="60">
        <f t="shared" si="6"/>
        <v>3915</v>
      </c>
      <c r="H16" s="60">
        <f t="shared" si="6"/>
        <v>4912</v>
      </c>
      <c r="I16" s="60">
        <f t="shared" si="6"/>
        <v>4313</v>
      </c>
      <c r="J16" s="60">
        <f t="shared" si="6"/>
        <v>4159</v>
      </c>
      <c r="K16" s="60">
        <f t="shared" si="6"/>
        <v>4878</v>
      </c>
      <c r="L16" s="60">
        <f t="shared" si="6"/>
        <v>3800</v>
      </c>
      <c r="M16" s="60">
        <f t="shared" si="6"/>
        <v>3730</v>
      </c>
      <c r="N16" s="60">
        <f t="shared" si="6"/>
        <v>4709</v>
      </c>
      <c r="O16" s="60">
        <f t="shared" si="6"/>
        <v>5388</v>
      </c>
      <c r="P16" s="61">
        <f t="shared" si="5"/>
        <v>49543</v>
      </c>
      <c r="Q16" s="27"/>
      <c r="R16" s="39">
        <f>+K16-'[1]تعداد واگن وارده&amp;صادره'!J40</f>
        <v>0</v>
      </c>
      <c r="S16" s="39">
        <f>+L16-'[1]تعداد واگن وارده&amp;صادره'!K40</f>
        <v>0</v>
      </c>
      <c r="T16" s="39">
        <f>+M16-'[1]تعداد واگن وارده&amp;صادره'!L40</f>
        <v>0</v>
      </c>
      <c r="U16" s="39">
        <f>+N16-'[1]تعداد واگن وارده&amp;صادره'!M40</f>
        <v>0</v>
      </c>
      <c r="V16" s="39">
        <f>+O16-'[1]تعداد واگن وارده&amp;صادره'!N40</f>
        <v>0</v>
      </c>
    </row>
    <row r="17" spans="1:22" ht="20.25" customHeight="1" x14ac:dyDescent="0.2">
      <c r="A17" s="29"/>
      <c r="B17" s="30" t="s">
        <v>21</v>
      </c>
      <c r="C17" s="31" t="s">
        <v>18</v>
      </c>
      <c r="D17" s="32">
        <v>1865</v>
      </c>
      <c r="E17" s="32">
        <v>1128</v>
      </c>
      <c r="F17" s="35">
        <v>489</v>
      </c>
      <c r="G17" s="35">
        <v>1342</v>
      </c>
      <c r="H17" s="35">
        <v>3154</v>
      </c>
      <c r="I17" s="35">
        <v>642</v>
      </c>
      <c r="J17" s="35">
        <v>2331</v>
      </c>
      <c r="K17" s="35">
        <v>12418</v>
      </c>
      <c r="L17" s="35">
        <v>6473</v>
      </c>
      <c r="M17" s="35">
        <v>8396</v>
      </c>
      <c r="N17" s="35">
        <v>8426</v>
      </c>
      <c r="O17" s="35">
        <v>10101</v>
      </c>
      <c r="P17" s="59">
        <f t="shared" si="5"/>
        <v>56765</v>
      </c>
      <c r="Q17" s="62"/>
    </row>
    <row r="18" spans="1:22" ht="20.25" customHeight="1" x14ac:dyDescent="0.2">
      <c r="A18" s="29"/>
      <c r="B18" s="30"/>
      <c r="C18" s="31" t="s">
        <v>19</v>
      </c>
      <c r="D18" s="32">
        <v>176674</v>
      </c>
      <c r="E18" s="32">
        <v>226576</v>
      </c>
      <c r="F18" s="35">
        <v>192479</v>
      </c>
      <c r="G18" s="35">
        <v>240688</v>
      </c>
      <c r="H18" s="35">
        <v>296398</v>
      </c>
      <c r="I18" s="35">
        <v>259322</v>
      </c>
      <c r="J18" s="35">
        <v>246918</v>
      </c>
      <c r="K18" s="35">
        <v>279101</v>
      </c>
      <c r="L18" s="35">
        <v>211447</v>
      </c>
      <c r="M18" s="35">
        <v>215145</v>
      </c>
      <c r="N18" s="35">
        <v>280556</v>
      </c>
      <c r="O18" s="35">
        <v>305373</v>
      </c>
      <c r="P18" s="59">
        <f t="shared" si="5"/>
        <v>2930677</v>
      </c>
      <c r="Q18" s="62"/>
    </row>
    <row r="19" spans="1:22" ht="20.25" customHeight="1" x14ac:dyDescent="0.2">
      <c r="A19" s="29"/>
      <c r="B19" s="30"/>
      <c r="C19" s="36" t="s">
        <v>20</v>
      </c>
      <c r="D19" s="60">
        <f t="shared" ref="D19:O19" si="7">SUM(D17:D18)</f>
        <v>178539</v>
      </c>
      <c r="E19" s="60">
        <f t="shared" si="7"/>
        <v>227704</v>
      </c>
      <c r="F19" s="60">
        <f t="shared" si="7"/>
        <v>192968</v>
      </c>
      <c r="G19" s="60">
        <f t="shared" si="7"/>
        <v>242030</v>
      </c>
      <c r="H19" s="60">
        <f t="shared" si="7"/>
        <v>299552</v>
      </c>
      <c r="I19" s="60">
        <f t="shared" si="7"/>
        <v>259964</v>
      </c>
      <c r="J19" s="60">
        <f t="shared" si="7"/>
        <v>249249</v>
      </c>
      <c r="K19" s="60">
        <f t="shared" si="7"/>
        <v>291519</v>
      </c>
      <c r="L19" s="60">
        <f t="shared" si="7"/>
        <v>217920</v>
      </c>
      <c r="M19" s="60">
        <f t="shared" si="7"/>
        <v>223541</v>
      </c>
      <c r="N19" s="60">
        <f t="shared" si="7"/>
        <v>288982</v>
      </c>
      <c r="O19" s="60">
        <f t="shared" si="7"/>
        <v>315474</v>
      </c>
      <c r="P19" s="61">
        <f t="shared" si="5"/>
        <v>2987442</v>
      </c>
      <c r="Q19" s="62"/>
      <c r="R19" s="3">
        <f>+K19-'[1]تناژ وارده&amp;صادره '!J38</f>
        <v>0</v>
      </c>
      <c r="S19" s="3">
        <f>+L19-'[1]تناژ وارده&amp;صادره '!K38</f>
        <v>0</v>
      </c>
      <c r="T19" s="3">
        <f>+M19-'[1]تناژ وارده&amp;صادره '!L38</f>
        <v>0</v>
      </c>
      <c r="U19" s="3">
        <f>+N19-'[1]تناژ وارده&amp;صادره '!M38</f>
        <v>0</v>
      </c>
      <c r="V19" s="3">
        <f>+O19-'[1]تناژ وارده&amp;صادره '!N38</f>
        <v>0</v>
      </c>
    </row>
    <row r="20" spans="1:22" ht="20.25" customHeight="1" x14ac:dyDescent="0.2">
      <c r="A20" s="29"/>
      <c r="B20" s="30" t="s">
        <v>22</v>
      </c>
      <c r="C20" s="31" t="s">
        <v>18</v>
      </c>
      <c r="D20" s="32">
        <v>294584</v>
      </c>
      <c r="E20" s="32">
        <v>178386</v>
      </c>
      <c r="F20" s="63">
        <v>202833</v>
      </c>
      <c r="G20" s="63">
        <v>203609</v>
      </c>
      <c r="H20" s="63">
        <v>822706</v>
      </c>
      <c r="I20" s="63">
        <v>99086</v>
      </c>
      <c r="J20" s="63">
        <v>1712833</v>
      </c>
      <c r="K20" s="63">
        <v>7525058</v>
      </c>
      <c r="L20" s="35">
        <v>1835052</v>
      </c>
      <c r="M20" s="63">
        <v>6128289</v>
      </c>
      <c r="N20" s="63">
        <v>3384476</v>
      </c>
      <c r="O20" s="63">
        <v>5852682</v>
      </c>
      <c r="P20" s="59">
        <f t="shared" si="5"/>
        <v>28239594</v>
      </c>
      <c r="Q20" s="62"/>
    </row>
    <row r="21" spans="1:22" ht="20.25" customHeight="1" x14ac:dyDescent="0.2">
      <c r="A21" s="29"/>
      <c r="B21" s="30"/>
      <c r="C21" s="31" t="s">
        <v>19</v>
      </c>
      <c r="D21" s="32">
        <v>48233838</v>
      </c>
      <c r="E21" s="32">
        <f>45782530+1</f>
        <v>45782531</v>
      </c>
      <c r="F21" s="35">
        <f>39006058+2</f>
        <v>39006060</v>
      </c>
      <c r="G21" s="35">
        <v>49302539</v>
      </c>
      <c r="H21" s="35">
        <v>75925227</v>
      </c>
      <c r="I21" s="35">
        <f>65423527+3</f>
        <v>65423530</v>
      </c>
      <c r="J21" s="35">
        <f>75390057+1</f>
        <v>75390058</v>
      </c>
      <c r="K21" s="35">
        <f>101759369-2</f>
        <v>101759367</v>
      </c>
      <c r="L21" s="35">
        <f>71292151+3</f>
        <v>71292154</v>
      </c>
      <c r="M21" s="35">
        <f>62239173+4</f>
        <v>62239177</v>
      </c>
      <c r="N21" s="64">
        <v>86079724</v>
      </c>
      <c r="O21" s="64">
        <f>122808351+6</f>
        <v>122808357</v>
      </c>
      <c r="P21" s="59">
        <f t="shared" si="5"/>
        <v>843242562</v>
      </c>
      <c r="Q21" s="62"/>
    </row>
    <row r="22" spans="1:22" ht="20.25" customHeight="1" thickBot="1" x14ac:dyDescent="0.25">
      <c r="A22" s="29"/>
      <c r="B22" s="46"/>
      <c r="C22" s="47" t="s">
        <v>20</v>
      </c>
      <c r="D22" s="65">
        <f t="shared" ref="D22:E22" si="8">SUM(D20:D21)</f>
        <v>48528422</v>
      </c>
      <c r="E22" s="65">
        <f t="shared" si="8"/>
        <v>45960917</v>
      </c>
      <c r="F22" s="65">
        <f t="shared" ref="F22:I22" si="9">SUM(F20:F21)</f>
        <v>39208893</v>
      </c>
      <c r="G22" s="65">
        <f t="shared" si="9"/>
        <v>49506148</v>
      </c>
      <c r="H22" s="65">
        <f t="shared" si="9"/>
        <v>76747933</v>
      </c>
      <c r="I22" s="65">
        <f t="shared" si="9"/>
        <v>65522616</v>
      </c>
      <c r="J22" s="65">
        <f>SUM(J20:J21)</f>
        <v>77102891</v>
      </c>
      <c r="K22" s="65">
        <f t="shared" ref="K22:O22" si="10">SUM(K20:K21)</f>
        <v>109284425</v>
      </c>
      <c r="L22" s="65">
        <f t="shared" si="10"/>
        <v>73127206</v>
      </c>
      <c r="M22" s="65">
        <f t="shared" si="10"/>
        <v>68367466</v>
      </c>
      <c r="N22" s="65">
        <f t="shared" si="10"/>
        <v>89464200</v>
      </c>
      <c r="O22" s="65">
        <f t="shared" si="10"/>
        <v>128661039</v>
      </c>
      <c r="P22" s="61">
        <f t="shared" si="5"/>
        <v>871482156</v>
      </c>
      <c r="Q22" s="62"/>
      <c r="R22" s="3">
        <f>+K22-'[1]تن کیلومتر وارده&amp;صادره '!J40</f>
        <v>0</v>
      </c>
      <c r="S22" s="3">
        <f>+L22-'[1]تن کیلومتر وارده&amp;صادره '!K40</f>
        <v>0</v>
      </c>
      <c r="T22" s="3">
        <f>+M22-'[1]تن کیلومتر وارده&amp;صادره '!L40</f>
        <v>0</v>
      </c>
      <c r="U22" s="3">
        <f>+N22-'[1]تن کیلومتر وارده&amp;صادره '!M40</f>
        <v>0</v>
      </c>
      <c r="V22" s="3">
        <f>+O22-'[1]تن کیلومتر وارده&amp;صادره '!N40</f>
        <v>0</v>
      </c>
    </row>
    <row r="23" spans="1:22" ht="20.25" customHeight="1" thickBot="1" x14ac:dyDescent="0.25">
      <c r="A23" s="50"/>
      <c r="B23" s="51" t="s">
        <v>25</v>
      </c>
      <c r="C23" s="52"/>
      <c r="D23" s="53">
        <f t="shared" ref="D23:O23" si="11">D22/D19</f>
        <v>271.80852362789085</v>
      </c>
      <c r="E23" s="53">
        <f t="shared" si="11"/>
        <v>201.84501370199908</v>
      </c>
      <c r="F23" s="53">
        <f t="shared" si="11"/>
        <v>203.18857530782307</v>
      </c>
      <c r="G23" s="53">
        <f t="shared" si="11"/>
        <v>204.54550262364171</v>
      </c>
      <c r="H23" s="53">
        <f t="shared" si="11"/>
        <v>256.20904884627708</v>
      </c>
      <c r="I23" s="53">
        <f t="shared" si="11"/>
        <v>252.04496007139451</v>
      </c>
      <c r="J23" s="53">
        <f t="shared" si="11"/>
        <v>309.34082383479972</v>
      </c>
      <c r="K23" s="53">
        <f t="shared" si="11"/>
        <v>374.87925315331074</v>
      </c>
      <c r="L23" s="53">
        <f t="shared" si="11"/>
        <v>335.56904368575624</v>
      </c>
      <c r="M23" s="53">
        <f t="shared" si="11"/>
        <v>305.83859784111195</v>
      </c>
      <c r="N23" s="53">
        <f t="shared" si="11"/>
        <v>309.58398793004409</v>
      </c>
      <c r="O23" s="53">
        <f t="shared" si="11"/>
        <v>407.83404971566597</v>
      </c>
      <c r="P23" s="54">
        <f>+P22/P19</f>
        <v>291.71517170877291</v>
      </c>
    </row>
    <row r="24" spans="1:22" ht="21" customHeight="1" x14ac:dyDescent="0.2">
      <c r="A24" s="20" t="s">
        <v>26</v>
      </c>
      <c r="B24" s="21" t="s">
        <v>17</v>
      </c>
      <c r="C24" s="22" t="s">
        <v>18</v>
      </c>
      <c r="D24" s="66">
        <v>0</v>
      </c>
      <c r="E24" s="67">
        <v>4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6">
        <f t="shared" ref="P24:P31" si="12">SUM(D24:O24)</f>
        <v>4</v>
      </c>
    </row>
    <row r="25" spans="1:22" ht="21" customHeight="1" x14ac:dyDescent="0.2">
      <c r="A25" s="29"/>
      <c r="B25" s="30"/>
      <c r="C25" s="31" t="s">
        <v>19</v>
      </c>
      <c r="D25" s="68">
        <v>528</v>
      </c>
      <c r="E25" s="69">
        <f>513+38</f>
        <v>551</v>
      </c>
      <c r="F25" s="34">
        <f>401+361</f>
        <v>762</v>
      </c>
      <c r="G25" s="34">
        <f>513+62</f>
        <v>575</v>
      </c>
      <c r="H25" s="35">
        <v>508</v>
      </c>
      <c r="I25" s="35">
        <v>488</v>
      </c>
      <c r="J25" s="35">
        <v>608</v>
      </c>
      <c r="K25" s="35">
        <v>661</v>
      </c>
      <c r="L25" s="35">
        <v>1198</v>
      </c>
      <c r="M25" s="34">
        <v>965</v>
      </c>
      <c r="N25" s="35">
        <v>922</v>
      </c>
      <c r="O25" s="35">
        <v>1002</v>
      </c>
      <c r="P25" s="26">
        <f t="shared" si="12"/>
        <v>8768</v>
      </c>
    </row>
    <row r="26" spans="1:22" ht="21" customHeight="1" x14ac:dyDescent="0.2">
      <c r="A26" s="29"/>
      <c r="B26" s="30"/>
      <c r="C26" s="36" t="s">
        <v>20</v>
      </c>
      <c r="D26" s="60">
        <f t="shared" ref="D26:O26" si="13">SUM(D24:D25)</f>
        <v>528</v>
      </c>
      <c r="E26" s="60">
        <f t="shared" si="13"/>
        <v>555</v>
      </c>
      <c r="F26" s="60">
        <f t="shared" si="13"/>
        <v>762</v>
      </c>
      <c r="G26" s="60">
        <f t="shared" si="13"/>
        <v>575</v>
      </c>
      <c r="H26" s="60">
        <f t="shared" si="13"/>
        <v>508</v>
      </c>
      <c r="I26" s="60">
        <f t="shared" si="13"/>
        <v>488</v>
      </c>
      <c r="J26" s="60">
        <f t="shared" si="13"/>
        <v>608</v>
      </c>
      <c r="K26" s="60">
        <f t="shared" si="13"/>
        <v>661</v>
      </c>
      <c r="L26" s="60">
        <f t="shared" si="13"/>
        <v>1198</v>
      </c>
      <c r="M26" s="60">
        <f t="shared" si="13"/>
        <v>965</v>
      </c>
      <c r="N26" s="60">
        <f t="shared" si="13"/>
        <v>922</v>
      </c>
      <c r="O26" s="60">
        <f t="shared" si="13"/>
        <v>1002</v>
      </c>
      <c r="P26" s="38">
        <f>SUM(D26:O26)</f>
        <v>8772</v>
      </c>
      <c r="R26" s="3">
        <f>+K26-'[1]تعداد واگن وارده&amp;صادره'!J18</f>
        <v>0</v>
      </c>
      <c r="S26" s="3">
        <f>+L26-'[1]تعداد واگن وارده&amp;صادره'!K18</f>
        <v>0</v>
      </c>
      <c r="T26" s="3">
        <f>+M26-'[1]تعداد واگن وارده&amp;صادره'!L18</f>
        <v>0</v>
      </c>
      <c r="U26" s="3">
        <f>+N26-'[1]تعداد واگن وارده&amp;صادره'!M18</f>
        <v>0</v>
      </c>
      <c r="V26" s="3">
        <f>+O26-'[1]تعداد واگن وارده&amp;صادره'!N18</f>
        <v>0</v>
      </c>
    </row>
    <row r="27" spans="1:22" ht="21" customHeight="1" x14ac:dyDescent="0.2">
      <c r="A27" s="29"/>
      <c r="B27" s="30" t="s">
        <v>27</v>
      </c>
      <c r="C27" s="31" t="s">
        <v>18</v>
      </c>
      <c r="D27" s="41">
        <v>0</v>
      </c>
      <c r="E27" s="32">
        <v>244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26">
        <f t="shared" si="12"/>
        <v>244</v>
      </c>
    </row>
    <row r="28" spans="1:22" ht="21" customHeight="1" x14ac:dyDescent="0.2">
      <c r="A28" s="29"/>
      <c r="B28" s="30"/>
      <c r="C28" s="31" t="s">
        <v>19</v>
      </c>
      <c r="D28" s="41">
        <v>28636</v>
      </c>
      <c r="E28" s="33">
        <f>25593+1532</f>
        <v>27125</v>
      </c>
      <c r="F28" s="34">
        <f>17427+14357</f>
        <v>31784</v>
      </c>
      <c r="G28" s="34">
        <f>24340+1950</f>
        <v>26290</v>
      </c>
      <c r="H28" s="35">
        <v>23447</v>
      </c>
      <c r="I28" s="35">
        <v>24290</v>
      </c>
      <c r="J28" s="35">
        <v>28589</v>
      </c>
      <c r="K28" s="35">
        <v>33704</v>
      </c>
      <c r="L28" s="35">
        <v>69808</v>
      </c>
      <c r="M28" s="34">
        <v>49540</v>
      </c>
      <c r="N28" s="35">
        <v>47634</v>
      </c>
      <c r="O28" s="35">
        <v>51302</v>
      </c>
      <c r="P28" s="26">
        <f t="shared" si="12"/>
        <v>442149</v>
      </c>
    </row>
    <row r="29" spans="1:22" ht="21" customHeight="1" x14ac:dyDescent="0.2">
      <c r="A29" s="29"/>
      <c r="B29" s="30"/>
      <c r="C29" s="36" t="s">
        <v>20</v>
      </c>
      <c r="D29" s="60">
        <f t="shared" ref="D29:O29" si="14">SUM(D27:D28)</f>
        <v>28636</v>
      </c>
      <c r="E29" s="60">
        <f t="shared" si="14"/>
        <v>27369</v>
      </c>
      <c r="F29" s="60">
        <f t="shared" si="14"/>
        <v>31784</v>
      </c>
      <c r="G29" s="60">
        <f t="shared" si="14"/>
        <v>26290</v>
      </c>
      <c r="H29" s="60">
        <f t="shared" si="14"/>
        <v>23447</v>
      </c>
      <c r="I29" s="60">
        <f t="shared" si="14"/>
        <v>24290</v>
      </c>
      <c r="J29" s="60">
        <f t="shared" si="14"/>
        <v>28589</v>
      </c>
      <c r="K29" s="60">
        <f t="shared" si="14"/>
        <v>33704</v>
      </c>
      <c r="L29" s="60">
        <f t="shared" si="14"/>
        <v>69808</v>
      </c>
      <c r="M29" s="60">
        <f t="shared" si="14"/>
        <v>49540</v>
      </c>
      <c r="N29" s="60">
        <f t="shared" si="14"/>
        <v>47634</v>
      </c>
      <c r="O29" s="60">
        <f t="shared" si="14"/>
        <v>51302</v>
      </c>
      <c r="P29" s="38">
        <f t="shared" si="12"/>
        <v>442393</v>
      </c>
      <c r="R29" s="3">
        <f>+K29-'[1]تناژ وارده&amp;صادره '!J17</f>
        <v>0</v>
      </c>
      <c r="S29" s="3">
        <f>+L29-'[1]تناژ وارده&amp;صادره '!K17</f>
        <v>0</v>
      </c>
      <c r="T29" s="3">
        <f>+M29-'[1]تناژ وارده&amp;صادره '!L17</f>
        <v>0</v>
      </c>
      <c r="U29" s="3">
        <f>+N29-'[1]تناژ وارده&amp;صادره '!M17</f>
        <v>0</v>
      </c>
      <c r="V29" s="3">
        <f>+O29-'[1]تناژ وارده&amp;صادره '!N17</f>
        <v>0</v>
      </c>
    </row>
    <row r="30" spans="1:22" ht="21" customHeight="1" x14ac:dyDescent="0.2">
      <c r="A30" s="29"/>
      <c r="B30" s="30" t="s">
        <v>22</v>
      </c>
      <c r="C30" s="31" t="s">
        <v>18</v>
      </c>
      <c r="D30" s="32">
        <v>0</v>
      </c>
      <c r="E30" s="70">
        <v>36600</v>
      </c>
      <c r="F30" s="64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26">
        <f t="shared" si="12"/>
        <v>36600</v>
      </c>
      <c r="Q30" s="71"/>
    </row>
    <row r="31" spans="1:22" ht="21" customHeight="1" x14ac:dyDescent="0.2">
      <c r="A31" s="29"/>
      <c r="B31" s="30"/>
      <c r="C31" s="31" t="s">
        <v>19</v>
      </c>
      <c r="D31" s="32">
        <v>7173829</v>
      </c>
      <c r="E31" s="33">
        <f>4941917-1+891071</f>
        <v>5832987</v>
      </c>
      <c r="F31" s="34">
        <f>6190136-1+8288341</f>
        <v>14478476</v>
      </c>
      <c r="G31" s="34">
        <f>8042042+1134197</f>
        <v>9176239</v>
      </c>
      <c r="H31" s="35">
        <v>10013642</v>
      </c>
      <c r="I31" s="35">
        <v>7427683</v>
      </c>
      <c r="J31" s="35">
        <f>10452945+1</f>
        <v>10452946</v>
      </c>
      <c r="K31" s="35">
        <f>9574416+2</f>
        <v>9574418</v>
      </c>
      <c r="L31" s="35">
        <f>16590034-1</f>
        <v>16590033</v>
      </c>
      <c r="M31" s="34">
        <v>10470969</v>
      </c>
      <c r="N31" s="35">
        <v>18520790</v>
      </c>
      <c r="O31" s="35">
        <v>11541252</v>
      </c>
      <c r="P31" s="26">
        <f t="shared" si="12"/>
        <v>131253264</v>
      </c>
      <c r="Q31" s="71"/>
    </row>
    <row r="32" spans="1:22" ht="21" customHeight="1" thickBot="1" x14ac:dyDescent="0.25">
      <c r="A32" s="29"/>
      <c r="B32" s="46"/>
      <c r="C32" s="47" t="s">
        <v>20</v>
      </c>
      <c r="D32" s="65">
        <f t="shared" ref="D32:E32" si="15">SUM(D30:D31)</f>
        <v>7173829</v>
      </c>
      <c r="E32" s="65">
        <f t="shared" si="15"/>
        <v>5869587</v>
      </c>
      <c r="F32" s="65">
        <f t="shared" ref="F32:O32" si="16">SUM(F30:F31)</f>
        <v>14478476</v>
      </c>
      <c r="G32" s="65">
        <f t="shared" si="16"/>
        <v>9176239</v>
      </c>
      <c r="H32" s="65">
        <f t="shared" si="16"/>
        <v>10013642</v>
      </c>
      <c r="I32" s="65">
        <f t="shared" si="16"/>
        <v>7427683</v>
      </c>
      <c r="J32" s="65">
        <f t="shared" si="16"/>
        <v>10452946</v>
      </c>
      <c r="K32" s="65">
        <f t="shared" si="16"/>
        <v>9574418</v>
      </c>
      <c r="L32" s="65">
        <f t="shared" si="16"/>
        <v>16590033</v>
      </c>
      <c r="M32" s="65">
        <f t="shared" si="16"/>
        <v>10470969</v>
      </c>
      <c r="N32" s="65">
        <f t="shared" si="16"/>
        <v>18520790</v>
      </c>
      <c r="O32" s="65">
        <f t="shared" si="16"/>
        <v>11541252</v>
      </c>
      <c r="P32" s="38">
        <f>SUM(D32:O32)</f>
        <v>131289864</v>
      </c>
      <c r="Q32" s="71"/>
      <c r="R32" s="3">
        <f>+K32-'[1]تن کیلومتر وارده&amp;صادره '!J17</f>
        <v>0</v>
      </c>
      <c r="S32" s="3">
        <f>+L32-'[1]تن کیلومتر وارده&amp;صادره '!K17</f>
        <v>0</v>
      </c>
      <c r="T32" s="3">
        <f>+M32-'[1]تن کیلومتر وارده&amp;صادره '!L17</f>
        <v>0</v>
      </c>
      <c r="U32" s="3">
        <f>+N32-'[1]تن کیلومتر وارده&amp;صادره '!M17</f>
        <v>0</v>
      </c>
      <c r="V32" s="3">
        <f>+O32-'[1]تن کیلومتر وارده&amp;صادره '!N17</f>
        <v>-1</v>
      </c>
    </row>
    <row r="33" spans="1:16" ht="21" customHeight="1" thickBot="1" x14ac:dyDescent="0.25">
      <c r="A33" s="50"/>
      <c r="B33" s="51" t="s">
        <v>28</v>
      </c>
      <c r="C33" s="52"/>
      <c r="D33" s="53">
        <f t="shared" ref="D33:M33" si="17">D32/D29</f>
        <v>250.51784467104343</v>
      </c>
      <c r="E33" s="53">
        <f t="shared" si="17"/>
        <v>214.46114216814644</v>
      </c>
      <c r="F33" s="53">
        <f t="shared" si="17"/>
        <v>455.52718348854768</v>
      </c>
      <c r="G33" s="53">
        <f t="shared" si="17"/>
        <v>349.03914035755042</v>
      </c>
      <c r="H33" s="53">
        <f t="shared" si="17"/>
        <v>427.07561734976758</v>
      </c>
      <c r="I33" s="53">
        <f t="shared" si="17"/>
        <v>305.79180732811858</v>
      </c>
      <c r="J33" s="53">
        <f t="shared" si="17"/>
        <v>365.62824862709437</v>
      </c>
      <c r="K33" s="53">
        <f t="shared" si="17"/>
        <v>284.0736411108474</v>
      </c>
      <c r="L33" s="53">
        <f t="shared" si="17"/>
        <v>237.65231778592712</v>
      </c>
      <c r="M33" s="53">
        <f t="shared" si="17"/>
        <v>211.36392813887767</v>
      </c>
      <c r="N33" s="53">
        <f>N32/N29</f>
        <v>388.81450224629464</v>
      </c>
      <c r="O33" s="53">
        <f>O32/O29</f>
        <v>224.96690187517055</v>
      </c>
      <c r="P33" s="72">
        <f>P32/P29</f>
        <v>296.77201944877066</v>
      </c>
    </row>
    <row r="34" spans="1:16" ht="26.25" customHeight="1" x14ac:dyDescent="0.2">
      <c r="A34" s="73" t="s">
        <v>29</v>
      </c>
      <c r="B34" s="73"/>
      <c r="C34" s="73"/>
      <c r="D34" s="73"/>
      <c r="E34" s="73"/>
      <c r="F34" s="73"/>
      <c r="G34" s="73"/>
      <c r="H34" s="73"/>
      <c r="I34" s="74"/>
      <c r="J34" s="74"/>
      <c r="K34" s="74"/>
      <c r="L34" s="74"/>
      <c r="M34" s="74"/>
      <c r="N34" s="74"/>
      <c r="O34" s="74"/>
      <c r="P34" s="74"/>
    </row>
    <row r="35" spans="1:16" x14ac:dyDescent="0.2">
      <c r="A35" s="75"/>
      <c r="B35" s="76"/>
      <c r="C35" s="76"/>
      <c r="F35" s="77"/>
      <c r="I35" s="77"/>
    </row>
    <row r="36" spans="1:16" x14ac:dyDescent="0.2">
      <c r="A36" s="75"/>
      <c r="B36" s="78"/>
      <c r="C36" s="76"/>
    </row>
    <row r="37" spans="1:16" x14ac:dyDescent="0.2">
      <c r="A37" s="75"/>
      <c r="B37" s="78"/>
      <c r="C37" s="76"/>
    </row>
    <row r="38" spans="1:16" x14ac:dyDescent="0.2">
      <c r="A38" s="75"/>
      <c r="B38" s="78"/>
      <c r="C38" s="76"/>
    </row>
    <row r="39" spans="1:16" x14ac:dyDescent="0.2">
      <c r="A39" s="75"/>
      <c r="B39" s="78"/>
      <c r="C39" s="76"/>
    </row>
    <row r="40" spans="1:16" x14ac:dyDescent="0.2">
      <c r="A40" s="75"/>
      <c r="B40" s="78"/>
      <c r="C40" s="76"/>
    </row>
    <row r="41" spans="1:16" x14ac:dyDescent="0.2">
      <c r="A41" s="75"/>
      <c r="B41" s="78"/>
      <c r="C41" s="76"/>
    </row>
    <row r="42" spans="1:16" x14ac:dyDescent="0.2">
      <c r="A42" s="75"/>
      <c r="B42" s="78"/>
      <c r="C42" s="79"/>
      <c r="D42" s="76"/>
      <c r="E42" s="76"/>
      <c r="F42" s="76"/>
      <c r="G42" s="76"/>
    </row>
    <row r="43" spans="1:16" x14ac:dyDescent="0.2">
      <c r="A43" s="75"/>
      <c r="B43" s="78"/>
      <c r="C43" s="76"/>
    </row>
    <row r="44" spans="1:16" x14ac:dyDescent="0.2">
      <c r="A44" s="75"/>
      <c r="B44" s="78"/>
      <c r="C44" s="76"/>
    </row>
    <row r="45" spans="1:16" x14ac:dyDescent="0.2">
      <c r="A45" s="75"/>
      <c r="B45" s="78"/>
      <c r="C45" s="76"/>
    </row>
    <row r="46" spans="1:16" x14ac:dyDescent="0.2">
      <c r="A46" s="75"/>
      <c r="B46" s="78"/>
      <c r="C46" s="76"/>
    </row>
    <row r="47" spans="1:16" x14ac:dyDescent="0.2">
      <c r="A47" s="75"/>
      <c r="B47" s="78"/>
      <c r="C47" s="76"/>
    </row>
    <row r="48" spans="1:16" x14ac:dyDescent="0.2">
      <c r="A48" s="75"/>
      <c r="B48" s="78"/>
      <c r="C48" s="76"/>
    </row>
    <row r="49" spans="1:8" x14ac:dyDescent="0.2">
      <c r="A49" s="75"/>
      <c r="B49" s="78"/>
      <c r="C49" s="76"/>
    </row>
    <row r="50" spans="1:8" x14ac:dyDescent="0.2">
      <c r="A50" s="75"/>
      <c r="B50" s="78"/>
      <c r="C50" s="76"/>
    </row>
    <row r="51" spans="1:8" x14ac:dyDescent="0.2">
      <c r="A51" s="75"/>
      <c r="B51" s="78"/>
      <c r="C51" s="76"/>
    </row>
    <row r="52" spans="1:8" x14ac:dyDescent="0.2">
      <c r="A52" s="75"/>
      <c r="B52" s="78"/>
      <c r="C52" s="79"/>
      <c r="D52" s="76"/>
      <c r="E52" s="76"/>
      <c r="F52" s="76"/>
      <c r="G52" s="76"/>
    </row>
    <row r="53" spans="1:8" x14ac:dyDescent="0.2">
      <c r="A53" s="75"/>
      <c r="B53" s="78"/>
      <c r="C53" s="76"/>
    </row>
    <row r="54" spans="1:8" x14ac:dyDescent="0.2">
      <c r="A54" s="75"/>
      <c r="B54" s="78"/>
      <c r="C54" s="76"/>
    </row>
    <row r="55" spans="1:8" x14ac:dyDescent="0.2">
      <c r="A55" s="75"/>
      <c r="B55" s="78"/>
      <c r="C55" s="76"/>
    </row>
    <row r="56" spans="1:8" x14ac:dyDescent="0.2">
      <c r="A56" s="75"/>
      <c r="B56" s="78"/>
      <c r="C56" s="76"/>
    </row>
    <row r="57" spans="1:8" x14ac:dyDescent="0.2">
      <c r="A57" s="75"/>
      <c r="B57" s="78"/>
      <c r="C57" s="76"/>
    </row>
    <row r="58" spans="1:8" x14ac:dyDescent="0.2">
      <c r="A58" s="75"/>
      <c r="B58" s="78"/>
      <c r="C58" s="76"/>
    </row>
    <row r="59" spans="1:8" x14ac:dyDescent="0.2">
      <c r="A59" s="75"/>
      <c r="B59" s="78"/>
      <c r="C59" s="76"/>
    </row>
    <row r="60" spans="1:8" x14ac:dyDescent="0.2">
      <c r="A60" s="75"/>
      <c r="B60" s="78"/>
      <c r="C60" s="76"/>
    </row>
    <row r="61" spans="1:8" x14ac:dyDescent="0.2">
      <c r="A61" s="75"/>
      <c r="B61" s="78"/>
      <c r="C61" s="76"/>
    </row>
    <row r="62" spans="1:8" x14ac:dyDescent="0.2">
      <c r="A62" s="75"/>
      <c r="B62" s="78"/>
      <c r="C62" s="79"/>
      <c r="D62" s="76"/>
      <c r="E62" s="76"/>
      <c r="F62" s="76"/>
      <c r="G62" s="76"/>
    </row>
    <row r="63" spans="1:8" x14ac:dyDescent="0.2">
      <c r="A63" s="80"/>
      <c r="B63" s="80"/>
      <c r="C63" s="80"/>
      <c r="D63" s="80"/>
      <c r="E63" s="80"/>
      <c r="F63" s="80"/>
      <c r="G63" s="80"/>
      <c r="H63" s="80"/>
    </row>
  </sheetData>
  <mergeCells count="34">
    <mergeCell ref="A53:A62"/>
    <mergeCell ref="B53:B55"/>
    <mergeCell ref="B56:B58"/>
    <mergeCell ref="B59:B61"/>
    <mergeCell ref="B62:C62"/>
    <mergeCell ref="A34:H34"/>
    <mergeCell ref="A35:A42"/>
    <mergeCell ref="B36:B38"/>
    <mergeCell ref="B39:B41"/>
    <mergeCell ref="B42:C42"/>
    <mergeCell ref="A43:A52"/>
    <mergeCell ref="B43:B45"/>
    <mergeCell ref="B46:B48"/>
    <mergeCell ref="B49:B51"/>
    <mergeCell ref="B52:C52"/>
    <mergeCell ref="A14:A23"/>
    <mergeCell ref="B14:B16"/>
    <mergeCell ref="B17:B19"/>
    <mergeCell ref="B20:B22"/>
    <mergeCell ref="B23:C23"/>
    <mergeCell ref="A24:A33"/>
    <mergeCell ref="B24:B26"/>
    <mergeCell ref="B27:B29"/>
    <mergeCell ref="B30:B32"/>
    <mergeCell ref="B33:C33"/>
    <mergeCell ref="A1:P1"/>
    <mergeCell ref="A2:C3"/>
    <mergeCell ref="D2:O2"/>
    <mergeCell ref="P2:P3"/>
    <mergeCell ref="A4:A13"/>
    <mergeCell ref="B4:B6"/>
    <mergeCell ref="B7:B9"/>
    <mergeCell ref="B10:B12"/>
    <mergeCell ref="B13:C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&amp;R&amp;"B Jalal,Regular"&amp;18ماهنامه آماری 7 ماهه 1402 راه آهن جمهوري اسلامي ايران</oddHeader>
    <oddFooter>&amp;L&amp;"B Jalal,Regular"&amp;16 12&amp;R&amp;"B Jalal,Regular"&amp;16گروه آمار و اطلاعات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ترانزیت نفتی و غیر نفتی</vt:lpstr>
      <vt:lpstr>'ترانزیت نفتی و غیر نفتی'!Print_Area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رضا روغني زاده دزفولي</dc:creator>
  <cp:lastModifiedBy>رضا روغني زاده دزفولي</cp:lastModifiedBy>
  <dcterms:created xsi:type="dcterms:W3CDTF">2015-06-05T18:17:20Z</dcterms:created>
  <dcterms:modified xsi:type="dcterms:W3CDTF">2026-05-04T11:48:41Z</dcterms:modified>
</cp:coreProperties>
</file>