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EMP\Downloads\ماهنامه\"/>
    </mc:Choice>
  </mc:AlternateContent>
  <xr:revisionPtr revIDLastSave="0" documentId="13_ncr:1_{899A92AF-CEB5-422F-9F63-2C9126AB79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ميانگين روزانه لکوموتيوها" sheetId="2" r:id="rId1"/>
  </sheets>
  <definedNames>
    <definedName name="_xlnm.Print_Area" localSheetId="0">'ميانگين روزانه لکوموتيوها'!$A$1:$N$104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9" i="2" l="1"/>
  <c r="E99" i="2"/>
  <c r="D99" i="2"/>
  <c r="C99" i="2"/>
  <c r="F98" i="2"/>
  <c r="E98" i="2"/>
  <c r="D98" i="2"/>
  <c r="C98" i="2"/>
  <c r="F97" i="2"/>
  <c r="E97" i="2"/>
  <c r="D97" i="2"/>
  <c r="C97" i="2"/>
  <c r="F96" i="2"/>
  <c r="E96" i="2"/>
  <c r="D96" i="2"/>
  <c r="C96" i="2"/>
  <c r="F95" i="2"/>
  <c r="E95" i="2"/>
  <c r="D95" i="2"/>
  <c r="C95" i="2"/>
  <c r="F94" i="2"/>
  <c r="E94" i="2"/>
  <c r="D94" i="2"/>
  <c r="C94" i="2"/>
  <c r="F93" i="2"/>
  <c r="E93" i="2"/>
  <c r="D93" i="2"/>
  <c r="C93" i="2"/>
  <c r="F92" i="2"/>
  <c r="E92" i="2"/>
  <c r="D92" i="2"/>
  <c r="C92" i="2"/>
  <c r="F91" i="2"/>
  <c r="E91" i="2"/>
  <c r="D91" i="2"/>
  <c r="C91" i="2"/>
  <c r="F90" i="2"/>
  <c r="E90" i="2"/>
  <c r="D90" i="2"/>
  <c r="C90" i="2"/>
  <c r="F89" i="2"/>
  <c r="F100" i="2" s="1"/>
  <c r="E89" i="2"/>
  <c r="E100" i="2" s="1"/>
  <c r="D89" i="2"/>
  <c r="D100" i="2" s="1"/>
  <c r="C89" i="2"/>
  <c r="C100" i="2" s="1"/>
  <c r="F87" i="2"/>
  <c r="E87" i="2"/>
  <c r="D87" i="2"/>
  <c r="C87" i="2"/>
  <c r="F86" i="2"/>
  <c r="E86" i="2"/>
  <c r="D86" i="2"/>
  <c r="C86" i="2"/>
  <c r="F85" i="2"/>
  <c r="E85" i="2"/>
  <c r="D85" i="2"/>
  <c r="C85" i="2"/>
  <c r="F84" i="2"/>
  <c r="E84" i="2"/>
  <c r="D84" i="2"/>
  <c r="C84" i="2"/>
  <c r="F83" i="2"/>
  <c r="E83" i="2"/>
  <c r="D83" i="2"/>
  <c r="C83" i="2"/>
  <c r="F82" i="2"/>
  <c r="E82" i="2"/>
  <c r="D82" i="2"/>
  <c r="C82" i="2"/>
  <c r="F81" i="2"/>
  <c r="E81" i="2"/>
  <c r="D81" i="2"/>
  <c r="C81" i="2"/>
  <c r="F80" i="2"/>
  <c r="E80" i="2"/>
  <c r="D80" i="2"/>
  <c r="C80" i="2"/>
  <c r="F79" i="2"/>
  <c r="E79" i="2"/>
  <c r="D79" i="2"/>
  <c r="C79" i="2"/>
  <c r="F78" i="2"/>
  <c r="E78" i="2"/>
  <c r="D78" i="2"/>
  <c r="C78" i="2"/>
  <c r="F77" i="2"/>
  <c r="F88" i="2" s="1"/>
  <c r="E77" i="2"/>
  <c r="E88" i="2" s="1"/>
  <c r="D77" i="2"/>
  <c r="D88" i="2" s="1"/>
  <c r="C77" i="2"/>
  <c r="C88" i="2" s="1"/>
  <c r="F75" i="2"/>
  <c r="E75" i="2"/>
  <c r="D75" i="2"/>
  <c r="C75" i="2"/>
  <c r="F74" i="2"/>
  <c r="E74" i="2"/>
  <c r="D74" i="2"/>
  <c r="C74" i="2"/>
  <c r="F73" i="2"/>
  <c r="E73" i="2"/>
  <c r="D73" i="2"/>
  <c r="C73" i="2"/>
  <c r="F72" i="2"/>
  <c r="E72" i="2"/>
  <c r="D72" i="2"/>
  <c r="C72" i="2"/>
  <c r="F71" i="2"/>
  <c r="E71" i="2"/>
  <c r="D71" i="2"/>
  <c r="C71" i="2"/>
  <c r="F70" i="2"/>
  <c r="E70" i="2"/>
  <c r="D70" i="2"/>
  <c r="C70" i="2"/>
  <c r="F69" i="2"/>
  <c r="E69" i="2"/>
  <c r="D69" i="2"/>
  <c r="C69" i="2"/>
  <c r="F68" i="2"/>
  <c r="E68" i="2"/>
  <c r="D68" i="2"/>
  <c r="C68" i="2"/>
  <c r="F67" i="2"/>
  <c r="E67" i="2"/>
  <c r="D67" i="2"/>
  <c r="C67" i="2"/>
  <c r="F66" i="2"/>
  <c r="F76" i="2" s="1"/>
  <c r="E66" i="2"/>
  <c r="E76" i="2" s="1"/>
  <c r="D66" i="2"/>
  <c r="D76" i="2" s="1"/>
  <c r="C66" i="2"/>
  <c r="C76" i="2" s="1"/>
  <c r="Q57" i="2"/>
  <c r="N57" i="2"/>
  <c r="M57" i="2"/>
  <c r="L57" i="2"/>
  <c r="K57" i="2"/>
  <c r="J57" i="2"/>
  <c r="I57" i="2"/>
  <c r="H57" i="2"/>
  <c r="G57" i="2"/>
  <c r="F57" i="2"/>
  <c r="E57" i="2"/>
  <c r="D57" i="2"/>
  <c r="C57" i="2"/>
  <c r="AJ52" i="2"/>
  <c r="AI52" i="2"/>
  <c r="AI57" i="2" s="1"/>
  <c r="AH52" i="2"/>
  <c r="AG52" i="2"/>
  <c r="AF52" i="2"/>
  <c r="AE52" i="2"/>
  <c r="AD52" i="2"/>
  <c r="AA52" i="2"/>
  <c r="Z52" i="2"/>
  <c r="Y52" i="2"/>
  <c r="X52" i="2"/>
  <c r="W52" i="2"/>
  <c r="V52" i="2"/>
  <c r="U52" i="2"/>
  <c r="U57" i="2" s="1"/>
  <c r="T52" i="2"/>
  <c r="T57" i="2" s="1"/>
  <c r="S52" i="2"/>
  <c r="R52" i="2"/>
  <c r="P52" i="2"/>
  <c r="P57" i="2" s="1"/>
  <c r="AH49" i="2"/>
  <c r="AF49" i="2"/>
  <c r="AE49" i="2"/>
  <c r="Y49" i="2"/>
  <c r="V49" i="2"/>
  <c r="AJ48" i="2"/>
  <c r="AI48" i="2"/>
  <c r="AH48" i="2"/>
  <c r="AH57" i="2" s="1"/>
  <c r="AG48" i="2"/>
  <c r="AG57" i="2" s="1"/>
  <c r="AG58" i="2" s="1"/>
  <c r="AF48" i="2"/>
  <c r="AE48" i="2"/>
  <c r="AD48" i="2"/>
  <c r="AD57" i="2" s="1"/>
  <c r="AA48" i="2"/>
  <c r="AA57" i="2" s="1"/>
  <c r="AC58" i="2" s="1"/>
  <c r="Z48" i="2"/>
  <c r="Y48" i="2"/>
  <c r="X48" i="2"/>
  <c r="X57" i="2" s="1"/>
  <c r="W48" i="2"/>
  <c r="W57" i="2" s="1"/>
  <c r="V48" i="2"/>
  <c r="U48" i="2"/>
  <c r="T48" i="2"/>
  <c r="S48" i="2"/>
  <c r="S57" i="2" s="1"/>
  <c r="R48" i="2"/>
  <c r="P48" i="2"/>
  <c r="AC45" i="2"/>
  <c r="AC44" i="2"/>
  <c r="Y44" i="2"/>
  <c r="N44" i="2"/>
  <c r="M44" i="2"/>
  <c r="L44" i="2"/>
  <c r="K44" i="2"/>
  <c r="J44" i="2"/>
  <c r="I44" i="2"/>
  <c r="H44" i="2"/>
  <c r="G44" i="2"/>
  <c r="F44" i="2"/>
  <c r="E44" i="2"/>
  <c r="D44" i="2"/>
  <c r="C44" i="2"/>
  <c r="AJ43" i="2"/>
  <c r="AG43" i="2"/>
  <c r="AA43" i="2"/>
  <c r="X43" i="2"/>
  <c r="T43" i="2"/>
  <c r="AJ42" i="2"/>
  <c r="AI42" i="2"/>
  <c r="AH42" i="2"/>
  <c r="AG42" i="2"/>
  <c r="AF42" i="2"/>
  <c r="AA42" i="2"/>
  <c r="Z42" i="2"/>
  <c r="AG41" i="2"/>
  <c r="AD41" i="2"/>
  <c r="S41" i="2"/>
  <c r="AJ39" i="2"/>
  <c r="AI39" i="2"/>
  <c r="AH39" i="2"/>
  <c r="AG39" i="2"/>
  <c r="AF39" i="2"/>
  <c r="AE39" i="2"/>
  <c r="AD39" i="2"/>
  <c r="AA39" i="2"/>
  <c r="Z39" i="2"/>
  <c r="Y39" i="2"/>
  <c r="X39" i="2"/>
  <c r="W39" i="2"/>
  <c r="V39" i="2"/>
  <c r="U39" i="2"/>
  <c r="T39" i="2"/>
  <c r="S39" i="2"/>
  <c r="Q39" i="2"/>
  <c r="P39" i="2"/>
  <c r="AI35" i="2"/>
  <c r="AF35" i="2"/>
  <c r="AD35" i="2"/>
  <c r="AJ33" i="2"/>
  <c r="AI33" i="2"/>
  <c r="AH33" i="2"/>
  <c r="AG33" i="2"/>
  <c r="AF33" i="2"/>
  <c r="AE33" i="2"/>
  <c r="AD33" i="2"/>
  <c r="AA33" i="2"/>
  <c r="Z33" i="2"/>
  <c r="Y33" i="2"/>
  <c r="X33" i="2"/>
  <c r="W33" i="2"/>
  <c r="V33" i="2"/>
  <c r="U33" i="2"/>
  <c r="T33" i="2"/>
  <c r="S33" i="2"/>
  <c r="R33" i="2"/>
  <c r="Q33" i="2"/>
  <c r="P33" i="2"/>
  <c r="AJ32" i="2"/>
  <c r="AI32" i="2"/>
  <c r="AH32" i="2"/>
  <c r="AG32" i="2"/>
  <c r="AF32" i="2"/>
  <c r="AE32" i="2"/>
  <c r="AD32" i="2"/>
  <c r="AA32" i="2"/>
  <c r="Z32" i="2"/>
  <c r="Y32" i="2"/>
  <c r="X32" i="2"/>
  <c r="W32" i="2"/>
  <c r="V32" i="2"/>
  <c r="U32" i="2"/>
  <c r="T32" i="2"/>
  <c r="S32" i="2"/>
  <c r="R32" i="2"/>
  <c r="Q32" i="2"/>
  <c r="P32" i="2"/>
  <c r="AJ30" i="2"/>
  <c r="AI30" i="2"/>
  <c r="AH30" i="2"/>
  <c r="AG30" i="2"/>
  <c r="AF30" i="2"/>
  <c r="AE30" i="2"/>
  <c r="AD30" i="2"/>
  <c r="AA30" i="2"/>
  <c r="Z30" i="2"/>
  <c r="Y30" i="2"/>
  <c r="X30" i="2"/>
  <c r="W30" i="2"/>
  <c r="V30" i="2"/>
  <c r="U30" i="2"/>
  <c r="T30" i="2"/>
  <c r="S30" i="2"/>
  <c r="R30" i="2"/>
  <c r="Q30" i="2"/>
  <c r="P30" i="2"/>
  <c r="AJ29" i="2"/>
  <c r="AI29" i="2"/>
  <c r="AH29" i="2"/>
  <c r="AG29" i="2"/>
  <c r="AF29" i="2"/>
  <c r="AE29" i="2"/>
  <c r="AD29" i="2"/>
  <c r="AA29" i="2"/>
  <c r="Z29" i="2"/>
  <c r="Y29" i="2"/>
  <c r="X29" i="2"/>
  <c r="W29" i="2"/>
  <c r="V29" i="2"/>
  <c r="U29" i="2"/>
  <c r="T29" i="2"/>
  <c r="S29" i="2"/>
  <c r="R29" i="2"/>
  <c r="Q29" i="2"/>
  <c r="P29" i="2"/>
  <c r="AI25" i="2"/>
  <c r="AG25" i="2"/>
  <c r="AF25" i="2"/>
  <c r="AE25" i="2"/>
  <c r="Z25" i="2"/>
  <c r="X25" i="2"/>
  <c r="W25" i="2"/>
  <c r="V25" i="2"/>
  <c r="U25" i="2"/>
  <c r="T25" i="2"/>
  <c r="S25" i="2"/>
  <c r="R25" i="2"/>
  <c r="Q25" i="2"/>
  <c r="P25" i="2"/>
  <c r="AJ24" i="2"/>
  <c r="AI24" i="2"/>
  <c r="AH24" i="2"/>
  <c r="AH44" i="2" s="1"/>
  <c r="AG24" i="2"/>
  <c r="AF24" i="2"/>
  <c r="AE24" i="2"/>
  <c r="AD24" i="2"/>
  <c r="AC24" i="2"/>
  <c r="AA24" i="2"/>
  <c r="Z24" i="2"/>
  <c r="Y24" i="2"/>
  <c r="X24" i="2"/>
  <c r="W24" i="2"/>
  <c r="V24" i="2"/>
  <c r="U24" i="2"/>
  <c r="T24" i="2"/>
  <c r="S24" i="2"/>
  <c r="R24" i="2"/>
  <c r="Q24" i="2"/>
  <c r="Q44" i="2" s="1"/>
  <c r="P24" i="2"/>
  <c r="N23" i="2"/>
  <c r="M23" i="2"/>
  <c r="L23" i="2"/>
  <c r="K23" i="2"/>
  <c r="J23" i="2"/>
  <c r="I23" i="2"/>
  <c r="H23" i="2"/>
  <c r="G23" i="2"/>
  <c r="F23" i="2"/>
  <c r="E23" i="2"/>
  <c r="D23" i="2"/>
  <c r="C23" i="2"/>
  <c r="AJ11" i="2"/>
  <c r="AI11" i="2"/>
  <c r="AI23" i="2" s="1"/>
  <c r="AH11" i="2"/>
  <c r="AG11" i="2"/>
  <c r="AF11" i="2"/>
  <c r="AE11" i="2"/>
  <c r="AE23" i="2" s="1"/>
  <c r="AD11" i="2"/>
  <c r="AA11" i="2"/>
  <c r="Z11" i="2"/>
  <c r="Y11" i="2"/>
  <c r="Y23" i="2" s="1"/>
  <c r="X11" i="2"/>
  <c r="W11" i="2"/>
  <c r="V11" i="2"/>
  <c r="U11" i="2"/>
  <c r="U23" i="2" s="1"/>
  <c r="T11" i="2"/>
  <c r="S11" i="2"/>
  <c r="R11" i="2"/>
  <c r="P11" i="2"/>
  <c r="AJ10" i="2"/>
  <c r="AI10" i="2"/>
  <c r="AH10" i="2"/>
  <c r="AG10" i="2"/>
  <c r="AF10" i="2"/>
  <c r="AE10" i="2"/>
  <c r="AD10" i="2"/>
  <c r="AA10" i="2"/>
  <c r="Z10" i="2"/>
  <c r="Y10" i="2"/>
  <c r="X10" i="2"/>
  <c r="W10" i="2"/>
  <c r="V10" i="2"/>
  <c r="U10" i="2"/>
  <c r="T10" i="2"/>
  <c r="S10" i="2"/>
  <c r="R10" i="2"/>
  <c r="Q10" i="2"/>
  <c r="Q23" i="2" s="1"/>
  <c r="P10" i="2"/>
  <c r="AJ9" i="2"/>
  <c r="AI9" i="2"/>
  <c r="AH9" i="2"/>
  <c r="AG9" i="2"/>
  <c r="AF9" i="2"/>
  <c r="AE9" i="2"/>
  <c r="AD9" i="2"/>
  <c r="AA9" i="2"/>
  <c r="Z9" i="2"/>
  <c r="Y9" i="2"/>
  <c r="X9" i="2"/>
  <c r="W9" i="2"/>
  <c r="V9" i="2"/>
  <c r="U9" i="2"/>
  <c r="T9" i="2"/>
  <c r="S9" i="2"/>
  <c r="R9" i="2"/>
  <c r="Q9" i="2"/>
  <c r="P9" i="2"/>
  <c r="U44" i="2" l="1"/>
  <c r="AI44" i="2"/>
  <c r="S23" i="2"/>
  <c r="W23" i="2"/>
  <c r="AA23" i="2"/>
  <c r="AG23" i="2"/>
  <c r="R23" i="2"/>
  <c r="V23" i="2"/>
  <c r="Z23" i="2"/>
  <c r="AF23" i="2"/>
  <c r="AJ23" i="2"/>
  <c r="R44" i="2"/>
  <c r="V44" i="2"/>
  <c r="AE44" i="2"/>
  <c r="Z44" i="2"/>
  <c r="Y57" i="2"/>
  <c r="P23" i="2"/>
  <c r="T23" i="2"/>
  <c r="X23" i="2"/>
  <c r="AD23" i="2"/>
  <c r="AH23" i="2"/>
  <c r="S44" i="2"/>
  <c r="W44" i="2"/>
  <c r="AA44" i="2"/>
  <c r="AF44" i="2"/>
  <c r="AJ44" i="2"/>
  <c r="AE57" i="2"/>
  <c r="P44" i="2"/>
  <c r="T44" i="2"/>
  <c r="X44" i="2"/>
  <c r="AG44" i="2"/>
  <c r="AD44" i="2"/>
  <c r="R57" i="2"/>
  <c r="V57" i="2"/>
  <c r="Z57" i="2"/>
  <c r="AF57" i="2"/>
  <c r="AJ57" i="2"/>
</calcChain>
</file>

<file path=xl/sharedStrings.xml><?xml version="1.0" encoding="utf-8"?>
<sst xmlns="http://schemas.openxmlformats.org/spreadsheetml/2006/main" count="119" uniqueCount="51">
  <si>
    <t>ميانگين روزانه تعداد لكوموتيوهاي آماده به کار (به تفكيك نوع )درسال 1403</t>
  </si>
  <si>
    <t>نوع لكوموتيو و سرويس دهي</t>
  </si>
  <si>
    <t>ماه</t>
  </si>
  <si>
    <t>فروردين</t>
  </si>
  <si>
    <t>ارديبهشت</t>
  </si>
  <si>
    <t>خرداد</t>
  </si>
  <si>
    <t>تير</t>
  </si>
  <si>
    <t>مرداد</t>
  </si>
  <si>
    <t>شهريور</t>
  </si>
  <si>
    <t>مهر</t>
  </si>
  <si>
    <t>آبان</t>
  </si>
  <si>
    <t>آذر</t>
  </si>
  <si>
    <t>دي</t>
  </si>
  <si>
    <t>بهمن</t>
  </si>
  <si>
    <t>اسفند</t>
  </si>
  <si>
    <t>مانوري</t>
  </si>
  <si>
    <t>G-8</t>
  </si>
  <si>
    <t>G-16</t>
  </si>
  <si>
    <t>G-18</t>
  </si>
  <si>
    <t>HD-10</t>
  </si>
  <si>
    <t>G-22</t>
  </si>
  <si>
    <t>GE</t>
  </si>
  <si>
    <t>GT-26CW</t>
  </si>
  <si>
    <t>GT-26CW-p</t>
  </si>
  <si>
    <t>G-12</t>
  </si>
  <si>
    <t>MAP24ریل پرداز</t>
  </si>
  <si>
    <t>آلستوم مپنا</t>
  </si>
  <si>
    <t xml:space="preserve"> البرزCDN10</t>
  </si>
  <si>
    <t>AD-43C</t>
  </si>
  <si>
    <t>گل گهر ترابر سیرجان</t>
  </si>
  <si>
    <t>RC-4</t>
  </si>
  <si>
    <t>چینی راه آهن کشش</t>
  </si>
  <si>
    <t>MAP24فولاد</t>
  </si>
  <si>
    <t>MAP24راهوار</t>
  </si>
  <si>
    <t>ER24PC</t>
  </si>
  <si>
    <t>جمع</t>
  </si>
  <si>
    <t>باري + تردد</t>
  </si>
  <si>
    <t>GT-26CW-P</t>
  </si>
  <si>
    <t>چینی پرس</t>
  </si>
  <si>
    <t>مپناMAP24</t>
  </si>
  <si>
    <t>مسافري + محلي</t>
  </si>
  <si>
    <t>ماخذ:سيستم ثبتي روزانه ديزلها</t>
  </si>
  <si>
    <t>ميانگين روزانه تعداد لكوموتيوهاي در سرويس (به تفكيك نوع )درسال 1403</t>
  </si>
  <si>
    <t xml:space="preserve">فصل </t>
  </si>
  <si>
    <t xml:space="preserve"> بهار </t>
  </si>
  <si>
    <t xml:space="preserve"> تابستان </t>
  </si>
  <si>
    <t xml:space="preserve"> پاييز </t>
  </si>
  <si>
    <t>زمستان</t>
  </si>
  <si>
    <t>DF8BI-1</t>
  </si>
  <si>
    <t>DF8BI-2</t>
  </si>
  <si>
    <t>DF8BI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</si>
</sst>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_-* #,##0.00\-;_-* &quot;-&quot;??_-;_-@_-"/>
    <numFmt numFmtId="165" formatCode="0.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22"/>
      <name val="B Jalal"/>
      <charset val="178"/>
    </font>
    <font>
      <sz val="22"/>
      <color theme="1"/>
      <name val="B Jalal"/>
      <charset val="178"/>
    </font>
    <font>
      <sz val="14"/>
      <color theme="1"/>
      <name val="Arial"/>
      <family val="2"/>
    </font>
    <font>
      <b/>
      <sz val="20"/>
      <name val="B Jalal"/>
      <charset val="178"/>
    </font>
    <font>
      <b/>
      <sz val="14"/>
      <name val="B Jalal"/>
      <charset val="178"/>
    </font>
    <font>
      <sz val="20"/>
      <name val="B Jalal"/>
      <charset val="178"/>
    </font>
    <font>
      <sz val="18"/>
      <name val="B Jalal"/>
      <charset val="178"/>
    </font>
    <font>
      <sz val="16"/>
      <name val="B Jalal"/>
      <charset val="178"/>
    </font>
    <font>
      <sz val="20"/>
      <color theme="1"/>
      <name val="B Jalal"/>
      <charset val="178"/>
    </font>
    <font>
      <sz val="14"/>
      <color theme="1"/>
      <name val="B Jalal"/>
      <charset val="178"/>
    </font>
    <font>
      <b/>
      <sz val="16"/>
      <name val="Arial"/>
      <family val="2"/>
    </font>
    <font>
      <sz val="22"/>
      <color theme="1"/>
      <name val="Arial"/>
      <family val="2"/>
    </font>
    <font>
      <b/>
      <sz val="14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7" xfId="1" applyFont="1" applyBorder="1" applyAlignment="1">
      <alignment horizontal="right" vertical="center"/>
    </xf>
    <xf numFmtId="0" fontId="8" fillId="0" borderId="8" xfId="1" applyFont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 textRotation="90"/>
    </xf>
    <xf numFmtId="0" fontId="9" fillId="0" borderId="10" xfId="1" applyFont="1" applyBorder="1" applyAlignment="1">
      <alignment horizontal="center" vertical="center"/>
    </xf>
    <xf numFmtId="1" fontId="7" fillId="0" borderId="11" xfId="1" applyNumberFormat="1" applyFont="1" applyBorder="1" applyAlignment="1">
      <alignment horizontal="center" vertical="center"/>
    </xf>
    <xf numFmtId="1" fontId="7" fillId="0" borderId="12" xfId="1" applyNumberFormat="1" applyFont="1" applyBorder="1" applyAlignment="1">
      <alignment horizontal="center" vertical="center"/>
    </xf>
    <xf numFmtId="1" fontId="4" fillId="0" borderId="0" xfId="1" applyNumberFormat="1" applyFont="1" applyAlignment="1">
      <alignment horizontal="center" vertical="center"/>
    </xf>
    <xf numFmtId="0" fontId="6" fillId="2" borderId="5" xfId="1" applyFont="1" applyFill="1" applyBorder="1" applyAlignment="1">
      <alignment horizontal="center" vertical="center" textRotation="90"/>
    </xf>
    <xf numFmtId="0" fontId="9" fillId="0" borderId="13" xfId="1" applyFont="1" applyBorder="1" applyAlignment="1">
      <alignment horizontal="center" vertical="center"/>
    </xf>
    <xf numFmtId="1" fontId="7" fillId="0" borderId="14" xfId="1" applyNumberFormat="1" applyFont="1" applyBorder="1" applyAlignment="1">
      <alignment horizontal="center" vertical="center"/>
    </xf>
    <xf numFmtId="1" fontId="7" fillId="0" borderId="15" xfId="1" applyNumberFormat="1" applyFont="1" applyBorder="1" applyAlignment="1">
      <alignment horizontal="center" vertical="center"/>
    </xf>
    <xf numFmtId="1" fontId="10" fillId="0" borderId="16" xfId="1" applyNumberFormat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1" fontId="7" fillId="0" borderId="18" xfId="1" applyNumberFormat="1" applyFont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 textRotation="90"/>
    </xf>
    <xf numFmtId="0" fontId="9" fillId="3" borderId="20" xfId="1" applyFont="1" applyFill="1" applyBorder="1" applyAlignment="1">
      <alignment horizontal="center" vertical="center"/>
    </xf>
    <xf numFmtId="1" fontId="7" fillId="3" borderId="21" xfId="1" applyNumberFormat="1" applyFont="1" applyFill="1" applyBorder="1" applyAlignment="1">
      <alignment horizontal="center" vertical="center"/>
    </xf>
    <xf numFmtId="1" fontId="7" fillId="3" borderId="22" xfId="1" applyNumberFormat="1" applyFont="1" applyFill="1" applyBorder="1" applyAlignment="1">
      <alignment horizontal="center" vertical="center"/>
    </xf>
    <xf numFmtId="1" fontId="7" fillId="3" borderId="23" xfId="1" applyNumberFormat="1" applyFont="1" applyFill="1" applyBorder="1" applyAlignment="1">
      <alignment horizontal="center" vertical="center"/>
    </xf>
    <xf numFmtId="1" fontId="4" fillId="0" borderId="0" xfId="2" applyNumberFormat="1" applyFont="1" applyAlignment="1">
      <alignment horizontal="center" vertical="center"/>
    </xf>
    <xf numFmtId="1" fontId="4" fillId="4" borderId="0" xfId="2" applyNumberFormat="1" applyFont="1" applyFill="1" applyAlignment="1">
      <alignment horizontal="center" vertical="center"/>
    </xf>
    <xf numFmtId="0" fontId="6" fillId="0" borderId="4" xfId="1" applyFont="1" applyBorder="1" applyAlignment="1">
      <alignment horizontal="center" vertical="center" textRotation="90"/>
    </xf>
    <xf numFmtId="0" fontId="9" fillId="0" borderId="24" xfId="1" applyFont="1" applyBorder="1" applyAlignment="1">
      <alignment horizontal="center" vertical="center"/>
    </xf>
    <xf numFmtId="1" fontId="7" fillId="0" borderId="25" xfId="1" applyNumberFormat="1" applyFont="1" applyBorder="1" applyAlignment="1">
      <alignment horizontal="center" vertical="center"/>
    </xf>
    <xf numFmtId="1" fontId="7" fillId="0" borderId="26" xfId="1" applyNumberFormat="1" applyFont="1" applyBorder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0" fontId="6" fillId="0" borderId="27" xfId="1" applyFont="1" applyBorder="1" applyAlignment="1">
      <alignment horizontal="center" vertical="center" textRotation="90"/>
    </xf>
    <xf numFmtId="0" fontId="6" fillId="0" borderId="13" xfId="1" applyFont="1" applyBorder="1" applyAlignment="1">
      <alignment horizontal="center" vertical="center" readingOrder="2"/>
    </xf>
    <xf numFmtId="0" fontId="4" fillId="4" borderId="0" xfId="1" applyFont="1" applyFill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 readingOrder="2"/>
    </xf>
    <xf numFmtId="0" fontId="6" fillId="0" borderId="28" xfId="1" applyFont="1" applyBorder="1" applyAlignment="1">
      <alignment horizontal="center" vertical="center" textRotation="90"/>
    </xf>
    <xf numFmtId="0" fontId="8" fillId="0" borderId="24" xfId="1" applyFont="1" applyBorder="1" applyAlignment="1">
      <alignment horizontal="center" vertical="center"/>
    </xf>
    <xf numFmtId="165" fontId="9" fillId="3" borderId="20" xfId="1" applyNumberFormat="1" applyFont="1" applyFill="1" applyBorder="1" applyAlignment="1">
      <alignment horizontal="center" vertical="center"/>
    </xf>
    <xf numFmtId="1" fontId="4" fillId="4" borderId="0" xfId="1" applyNumberFormat="1" applyFont="1" applyFill="1" applyAlignment="1">
      <alignment horizontal="center" vertical="center"/>
    </xf>
    <xf numFmtId="0" fontId="10" fillId="0" borderId="29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12" fillId="2" borderId="30" xfId="1" applyFont="1" applyFill="1" applyBorder="1" applyAlignment="1">
      <alignment horizontal="center" vertical="top" wrapText="1"/>
    </xf>
    <xf numFmtId="0" fontId="13" fillId="2" borderId="0" xfId="1" applyFont="1" applyFill="1" applyAlignment="1">
      <alignment vertical="center"/>
    </xf>
    <xf numFmtId="0" fontId="14" fillId="0" borderId="9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0" fontId="16" fillId="2" borderId="32" xfId="1" applyFont="1" applyFill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 textRotation="90"/>
    </xf>
    <xf numFmtId="0" fontId="17" fillId="0" borderId="9" xfId="1" applyFont="1" applyBorder="1" applyAlignment="1">
      <alignment horizontal="center" vertical="center"/>
    </xf>
    <xf numFmtId="1" fontId="18" fillId="0" borderId="33" xfId="1" applyNumberFormat="1" applyFont="1" applyBorder="1" applyAlignment="1">
      <alignment horizontal="center" vertical="center"/>
    </xf>
    <xf numFmtId="1" fontId="18" fillId="0" borderId="25" xfId="1" applyNumberFormat="1" applyFont="1" applyBorder="1" applyAlignment="1">
      <alignment horizontal="center" vertical="center"/>
    </xf>
    <xf numFmtId="1" fontId="18" fillId="0" borderId="26" xfId="1" applyNumberFormat="1" applyFont="1" applyBorder="1" applyAlignment="1">
      <alignment horizontal="center" vertical="center"/>
    </xf>
    <xf numFmtId="1" fontId="18" fillId="0" borderId="34" xfId="1" applyNumberFormat="1" applyFont="1" applyBorder="1" applyAlignment="1">
      <alignment horizontal="center" vertical="center"/>
    </xf>
    <xf numFmtId="0" fontId="14" fillId="2" borderId="27" xfId="1" applyFont="1" applyFill="1" applyBorder="1" applyAlignment="1">
      <alignment horizontal="center" vertical="center" textRotation="90"/>
    </xf>
    <xf numFmtId="0" fontId="17" fillId="0" borderId="16" xfId="1" applyFont="1" applyBorder="1" applyAlignment="1">
      <alignment horizontal="center" vertical="center"/>
    </xf>
    <xf numFmtId="1" fontId="18" fillId="0" borderId="35" xfId="1" applyNumberFormat="1" applyFont="1" applyBorder="1" applyAlignment="1">
      <alignment horizontal="center" vertical="center"/>
    </xf>
    <xf numFmtId="0" fontId="17" fillId="0" borderId="36" xfId="1" applyFont="1" applyBorder="1" applyAlignment="1">
      <alignment horizontal="center" vertical="center"/>
    </xf>
    <xf numFmtId="0" fontId="17" fillId="0" borderId="37" xfId="1" applyFont="1" applyBorder="1" applyAlignment="1">
      <alignment horizontal="center" vertical="center"/>
    </xf>
    <xf numFmtId="0" fontId="14" fillId="2" borderId="28" xfId="1" applyFont="1" applyFill="1" applyBorder="1" applyAlignment="1">
      <alignment horizontal="center" vertical="center" textRotation="90"/>
    </xf>
    <xf numFmtId="0" fontId="17" fillId="3" borderId="1" xfId="1" applyFont="1" applyFill="1" applyBorder="1" applyAlignment="1">
      <alignment horizontal="center" vertical="center"/>
    </xf>
    <xf numFmtId="0" fontId="4" fillId="5" borderId="32" xfId="1" applyFont="1" applyFill="1" applyBorder="1" applyAlignment="1">
      <alignment horizontal="center" vertical="center"/>
    </xf>
    <xf numFmtId="1" fontId="4" fillId="5" borderId="22" xfId="1" applyNumberFormat="1" applyFont="1" applyFill="1" applyBorder="1" applyAlignment="1">
      <alignment horizontal="center" vertical="center"/>
    </xf>
    <xf numFmtId="1" fontId="4" fillId="5" borderId="21" xfId="1" applyNumberFormat="1" applyFont="1" applyFill="1" applyBorder="1" applyAlignment="1">
      <alignment horizontal="center" vertical="center"/>
    </xf>
    <xf numFmtId="1" fontId="4" fillId="5" borderId="2" xfId="1" applyNumberFormat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textRotation="90"/>
    </xf>
    <xf numFmtId="0" fontId="17" fillId="0" borderId="38" xfId="1" applyFont="1" applyBorder="1" applyAlignment="1">
      <alignment horizontal="center" vertical="center"/>
    </xf>
    <xf numFmtId="1" fontId="4" fillId="0" borderId="35" xfId="1" applyNumberFormat="1" applyFont="1" applyBorder="1" applyAlignment="1">
      <alignment horizontal="center" vertical="center"/>
    </xf>
    <xf numFmtId="1" fontId="4" fillId="0" borderId="25" xfId="1" applyNumberFormat="1" applyFont="1" applyBorder="1" applyAlignment="1">
      <alignment horizontal="center" vertical="center"/>
    </xf>
    <xf numFmtId="1" fontId="4" fillId="0" borderId="26" xfId="1" applyNumberFormat="1" applyFont="1" applyBorder="1" applyAlignment="1">
      <alignment horizontal="center" vertical="center"/>
    </xf>
    <xf numFmtId="1" fontId="4" fillId="0" borderId="34" xfId="1" applyNumberFormat="1" applyFont="1" applyBorder="1" applyAlignment="1">
      <alignment horizontal="center" vertical="center"/>
    </xf>
    <xf numFmtId="1" fontId="4" fillId="5" borderId="32" xfId="1" applyNumberFormat="1" applyFont="1" applyFill="1" applyBorder="1" applyAlignment="1">
      <alignment horizontal="center" vertical="center"/>
    </xf>
    <xf numFmtId="1" fontId="4" fillId="5" borderId="23" xfId="1" applyNumberFormat="1" applyFont="1" applyFill="1" applyBorder="1" applyAlignment="1">
      <alignment horizontal="center" vertical="center"/>
    </xf>
    <xf numFmtId="0" fontId="14" fillId="0" borderId="4" xfId="1" applyFont="1" applyBorder="1" applyAlignment="1">
      <alignment horizontal="center" vertical="center" textRotation="90"/>
    </xf>
    <xf numFmtId="0" fontId="14" fillId="0" borderId="27" xfId="1" applyFont="1" applyBorder="1" applyAlignment="1">
      <alignment horizontal="center" vertical="center" textRotation="90"/>
    </xf>
    <xf numFmtId="0" fontId="14" fillId="0" borderId="28" xfId="1" applyFont="1" applyBorder="1" applyAlignment="1">
      <alignment horizontal="center" vertical="center" textRotation="90"/>
    </xf>
    <xf numFmtId="165" fontId="17" fillId="3" borderId="39" xfId="1" applyNumberFormat="1" applyFont="1" applyFill="1" applyBorder="1" applyAlignment="1">
      <alignment horizontal="center" vertical="center"/>
    </xf>
    <xf numFmtId="0" fontId="18" fillId="0" borderId="29" xfId="1" applyFont="1" applyBorder="1" applyAlignment="1">
      <alignment horizontal="right" vertical="center"/>
    </xf>
    <xf numFmtId="0" fontId="19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</cellXfs>
  <cellStyles count="3">
    <cellStyle name="Comma 2" xfId="2" xr:uid="{BD14885A-0AF2-461D-9047-18CC9EC62702}"/>
    <cellStyle name="Normal" xfId="0" builtinId="0"/>
    <cellStyle name="Normal 2" xfId="1" xr:uid="{88246967-361C-4FE6-9E36-66C46C92CB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0E29E-822E-4111-996D-6F3AA24C2D5B}">
  <sheetPr>
    <tabColor rgb="FF00B050"/>
  </sheetPr>
  <dimension ref="A1:AJ102"/>
  <sheetViews>
    <sheetView rightToLeft="1" tabSelected="1" view="pageBreakPreview" zoomScaleSheetLayoutView="100" workbookViewId="0">
      <selection activeCell="AL44" sqref="AL44"/>
    </sheetView>
  </sheetViews>
  <sheetFormatPr defaultColWidth="9" defaultRowHeight="18"/>
  <cols>
    <col min="1" max="1" width="14.140625" style="3" customWidth="1"/>
    <col min="2" max="2" width="28.7109375" style="3" customWidth="1"/>
    <col min="3" max="8" width="11.28515625" style="3" customWidth="1"/>
    <col min="9" max="9" width="10.5703125" style="3" customWidth="1"/>
    <col min="10" max="10" width="9.7109375" style="3" customWidth="1"/>
    <col min="11" max="14" width="10.140625" style="3" customWidth="1"/>
    <col min="15" max="15" width="9" style="3" customWidth="1"/>
    <col min="16" max="16" width="10.85546875" style="3" hidden="1" customWidth="1"/>
    <col min="17" max="19" width="7.7109375" style="3" hidden="1" customWidth="1"/>
    <col min="20" max="20" width="10" style="3" hidden="1" customWidth="1"/>
    <col min="21" max="21" width="10.85546875" style="3" hidden="1" customWidth="1"/>
    <col min="22" max="22" width="7.7109375" style="3" hidden="1" customWidth="1"/>
    <col min="23" max="23" width="13.140625" style="3" hidden="1" customWidth="1"/>
    <col min="24" max="24" width="8.85546875" style="3" hidden="1" customWidth="1"/>
    <col min="25" max="25" width="12.85546875" style="3" hidden="1" customWidth="1"/>
    <col min="26" max="28" width="7.7109375" style="3" hidden="1" customWidth="1"/>
    <col min="29" max="31" width="0" style="3" hidden="1" customWidth="1"/>
    <col min="32" max="32" width="11.42578125" style="3" hidden="1" customWidth="1"/>
    <col min="33" max="33" width="12.42578125" style="3" hidden="1" customWidth="1"/>
    <col min="34" max="34" width="9.85546875" style="3" hidden="1" customWidth="1"/>
    <col min="35" max="36" width="0" style="3" hidden="1" customWidth="1"/>
    <col min="37" max="16384" width="9" style="3"/>
  </cols>
  <sheetData>
    <row r="1" spans="1:36" ht="44.2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36" ht="33.75" customHeight="1" thickBot="1">
      <c r="A2" s="4" t="s">
        <v>1</v>
      </c>
      <c r="B2" s="5"/>
      <c r="C2" s="6" t="s">
        <v>2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36" ht="33.75" customHeight="1" thickBot="1">
      <c r="A3" s="8"/>
      <c r="B3" s="9"/>
      <c r="C3" s="10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2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3" t="s">
        <v>14</v>
      </c>
    </row>
    <row r="4" spans="1:36" ht="33" customHeight="1">
      <c r="A4" s="14" t="s">
        <v>15</v>
      </c>
      <c r="B4" s="15" t="s">
        <v>16</v>
      </c>
      <c r="C4" s="16">
        <v>8</v>
      </c>
      <c r="D4" s="17">
        <v>8</v>
      </c>
      <c r="E4" s="17">
        <v>8</v>
      </c>
      <c r="F4" s="17"/>
      <c r="G4" s="17"/>
      <c r="H4" s="17"/>
      <c r="I4" s="17"/>
      <c r="J4" s="17"/>
      <c r="K4" s="17"/>
      <c r="L4" s="17"/>
      <c r="M4" s="17"/>
      <c r="N4" s="17"/>
      <c r="P4" s="3">
        <v>222</v>
      </c>
      <c r="Q4" s="18">
        <v>231</v>
      </c>
      <c r="R4" s="3">
        <v>226</v>
      </c>
      <c r="S4" s="3">
        <v>232</v>
      </c>
      <c r="T4" s="3">
        <v>223</v>
      </c>
      <c r="U4" s="3">
        <v>221</v>
      </c>
      <c r="V4" s="3">
        <v>210</v>
      </c>
      <c r="W4" s="3">
        <v>227</v>
      </c>
      <c r="X4" s="3">
        <v>223</v>
      </c>
      <c r="Y4" s="3">
        <v>214</v>
      </c>
      <c r="Z4" s="3">
        <v>217</v>
      </c>
      <c r="AA4" s="3">
        <v>195</v>
      </c>
      <c r="AD4" s="3">
        <v>207</v>
      </c>
      <c r="AE4" s="3">
        <v>208</v>
      </c>
      <c r="AF4" s="3">
        <v>190</v>
      </c>
      <c r="AG4" s="3">
        <v>203</v>
      </c>
      <c r="AH4" s="3">
        <v>213</v>
      </c>
      <c r="AI4" s="3">
        <v>238</v>
      </c>
      <c r="AJ4" s="3">
        <v>230</v>
      </c>
    </row>
    <row r="5" spans="1:36" ht="33" customHeight="1">
      <c r="A5" s="19"/>
      <c r="B5" s="20" t="s">
        <v>17</v>
      </c>
      <c r="C5" s="21">
        <v>1</v>
      </c>
      <c r="D5" s="22">
        <v>1</v>
      </c>
      <c r="E5" s="22">
        <v>0</v>
      </c>
      <c r="F5" s="22"/>
      <c r="G5" s="22"/>
      <c r="H5" s="22"/>
      <c r="I5" s="22"/>
      <c r="J5" s="22"/>
      <c r="K5" s="22"/>
      <c r="L5" s="22"/>
      <c r="M5" s="22"/>
      <c r="N5" s="22"/>
      <c r="P5" s="3">
        <v>10</v>
      </c>
      <c r="Q5" s="18">
        <v>10</v>
      </c>
      <c r="R5" s="3">
        <v>15</v>
      </c>
      <c r="S5" s="3">
        <v>13</v>
      </c>
      <c r="T5" s="3">
        <v>11</v>
      </c>
      <c r="U5" s="3">
        <v>16</v>
      </c>
      <c r="V5" s="3">
        <v>14</v>
      </c>
      <c r="W5" s="3">
        <v>13</v>
      </c>
      <c r="X5" s="3">
        <v>17</v>
      </c>
      <c r="Y5" s="3">
        <v>17</v>
      </c>
      <c r="Z5" s="3">
        <v>21</v>
      </c>
      <c r="AA5" s="3">
        <v>20</v>
      </c>
      <c r="AD5" s="3">
        <v>24</v>
      </c>
      <c r="AE5" s="3">
        <v>17</v>
      </c>
      <c r="AF5" s="3">
        <v>27</v>
      </c>
      <c r="AG5" s="3">
        <v>29</v>
      </c>
      <c r="AH5" s="3">
        <v>30</v>
      </c>
      <c r="AI5" s="3">
        <v>30</v>
      </c>
      <c r="AJ5" s="3">
        <v>28</v>
      </c>
    </row>
    <row r="6" spans="1:36" ht="33" customHeight="1">
      <c r="A6" s="19"/>
      <c r="B6" s="20" t="s">
        <v>18</v>
      </c>
      <c r="C6" s="21">
        <v>2</v>
      </c>
      <c r="D6" s="22">
        <v>2</v>
      </c>
      <c r="E6" s="22">
        <v>2</v>
      </c>
      <c r="F6" s="22"/>
      <c r="G6" s="22"/>
      <c r="H6" s="22"/>
      <c r="I6" s="22"/>
      <c r="J6" s="22"/>
      <c r="K6" s="22"/>
      <c r="L6" s="22"/>
      <c r="M6" s="22"/>
      <c r="N6" s="22"/>
      <c r="P6" s="3">
        <v>62</v>
      </c>
      <c r="Q6" s="18">
        <v>62</v>
      </c>
      <c r="R6" s="3">
        <v>62</v>
      </c>
      <c r="S6" s="3">
        <v>62</v>
      </c>
      <c r="T6" s="3">
        <v>62</v>
      </c>
      <c r="U6" s="3">
        <v>62</v>
      </c>
      <c r="V6" s="3">
        <v>60</v>
      </c>
      <c r="W6" s="3">
        <v>60</v>
      </c>
      <c r="X6" s="3">
        <v>60</v>
      </c>
      <c r="Y6" s="3">
        <v>60</v>
      </c>
      <c r="Z6" s="3">
        <v>60</v>
      </c>
      <c r="AA6" s="3">
        <v>58</v>
      </c>
      <c r="AD6" s="3">
        <v>55</v>
      </c>
      <c r="AE6" s="3">
        <v>62</v>
      </c>
      <c r="AF6" s="3">
        <v>55</v>
      </c>
      <c r="AG6" s="3">
        <v>61</v>
      </c>
      <c r="AH6" s="3">
        <v>62</v>
      </c>
      <c r="AI6" s="3">
        <v>62</v>
      </c>
      <c r="AJ6" s="3">
        <v>58</v>
      </c>
    </row>
    <row r="7" spans="1:36" ht="33" customHeight="1">
      <c r="A7" s="19"/>
      <c r="B7" s="20" t="s">
        <v>19</v>
      </c>
      <c r="C7" s="23">
        <v>17</v>
      </c>
      <c r="D7" s="22">
        <v>17</v>
      </c>
      <c r="E7" s="22">
        <v>17</v>
      </c>
      <c r="F7" s="22"/>
      <c r="G7" s="22"/>
      <c r="H7" s="22"/>
      <c r="I7" s="22"/>
      <c r="J7" s="22"/>
      <c r="K7" s="22"/>
      <c r="L7" s="22"/>
      <c r="M7" s="22"/>
      <c r="N7" s="22"/>
      <c r="P7" s="3">
        <v>571</v>
      </c>
      <c r="Q7" s="18">
        <v>576</v>
      </c>
      <c r="R7" s="3">
        <v>563</v>
      </c>
      <c r="S7" s="3">
        <v>534</v>
      </c>
      <c r="T7" s="3">
        <v>547</v>
      </c>
      <c r="U7" s="3">
        <v>556</v>
      </c>
      <c r="V7" s="3">
        <v>526</v>
      </c>
      <c r="W7" s="3">
        <v>535</v>
      </c>
      <c r="X7" s="3">
        <v>516</v>
      </c>
      <c r="Y7" s="3">
        <v>540</v>
      </c>
      <c r="Z7" s="3">
        <v>531</v>
      </c>
      <c r="AA7" s="3">
        <v>519</v>
      </c>
      <c r="AD7" s="3">
        <v>562</v>
      </c>
      <c r="AE7" s="3">
        <v>561</v>
      </c>
      <c r="AF7" s="3">
        <v>546</v>
      </c>
      <c r="AG7" s="3">
        <v>550</v>
      </c>
      <c r="AH7" s="3">
        <v>558</v>
      </c>
      <c r="AI7" s="3">
        <v>556</v>
      </c>
      <c r="AJ7" s="3">
        <v>547</v>
      </c>
    </row>
    <row r="8" spans="1:36" ht="33" customHeight="1">
      <c r="A8" s="19"/>
      <c r="B8" s="20" t="s">
        <v>20</v>
      </c>
      <c r="C8" s="23">
        <v>18</v>
      </c>
      <c r="D8" s="22">
        <v>17</v>
      </c>
      <c r="E8" s="22">
        <v>20</v>
      </c>
      <c r="F8" s="22"/>
      <c r="G8" s="22"/>
      <c r="H8" s="22"/>
      <c r="I8" s="22"/>
      <c r="J8" s="22"/>
      <c r="K8" s="22"/>
      <c r="L8" s="22"/>
      <c r="M8" s="22"/>
      <c r="N8" s="22"/>
      <c r="P8" s="3">
        <v>544</v>
      </c>
      <c r="Q8" s="18">
        <v>554</v>
      </c>
      <c r="R8" s="3">
        <v>529</v>
      </c>
      <c r="S8" s="3">
        <v>550</v>
      </c>
      <c r="T8" s="3">
        <v>611</v>
      </c>
      <c r="U8" s="3">
        <v>611</v>
      </c>
      <c r="V8" s="3">
        <v>566</v>
      </c>
      <c r="W8" s="3">
        <v>588</v>
      </c>
      <c r="X8" s="3">
        <v>558</v>
      </c>
      <c r="Y8" s="3">
        <v>508</v>
      </c>
      <c r="Z8" s="3">
        <v>516</v>
      </c>
      <c r="AA8" s="3">
        <v>542</v>
      </c>
      <c r="AD8" s="3">
        <v>559</v>
      </c>
      <c r="AE8" s="3">
        <v>545</v>
      </c>
      <c r="AF8" s="3">
        <v>578</v>
      </c>
      <c r="AG8" s="3">
        <v>566</v>
      </c>
      <c r="AH8" s="3">
        <v>573</v>
      </c>
      <c r="AI8" s="3">
        <v>572</v>
      </c>
      <c r="AJ8" s="3">
        <v>548</v>
      </c>
    </row>
    <row r="9" spans="1:36" ht="33" customHeight="1">
      <c r="A9" s="19"/>
      <c r="B9" s="20" t="s">
        <v>21</v>
      </c>
      <c r="C9" s="23">
        <v>9</v>
      </c>
      <c r="D9" s="22">
        <v>9</v>
      </c>
      <c r="E9" s="22">
        <v>9</v>
      </c>
      <c r="F9" s="22"/>
      <c r="G9" s="22"/>
      <c r="H9" s="22"/>
      <c r="I9" s="22"/>
      <c r="J9" s="22"/>
      <c r="K9" s="22"/>
      <c r="L9" s="22"/>
      <c r="M9" s="22"/>
      <c r="N9" s="22"/>
      <c r="P9" s="3">
        <f>101+159</f>
        <v>260</v>
      </c>
      <c r="Q9" s="18">
        <f>140+127</f>
        <v>267</v>
      </c>
      <c r="R9" s="3">
        <f>74+184</f>
        <v>258</v>
      </c>
      <c r="S9" s="3">
        <f>126+102</f>
        <v>228</v>
      </c>
      <c r="T9" s="3">
        <f>129+105</f>
        <v>234</v>
      </c>
      <c r="U9" s="3">
        <f>151+121</f>
        <v>272</v>
      </c>
      <c r="V9" s="3">
        <f>146+143</f>
        <v>289</v>
      </c>
      <c r="W9" s="3">
        <f>116+182</f>
        <v>298</v>
      </c>
      <c r="X9" s="3">
        <f>110+150</f>
        <v>260</v>
      </c>
      <c r="Y9" s="3">
        <f>187+93</f>
        <v>280</v>
      </c>
      <c r="Z9" s="3">
        <f>190+76</f>
        <v>266</v>
      </c>
      <c r="AA9" s="3">
        <f>197+69</f>
        <v>266</v>
      </c>
      <c r="AD9" s="3">
        <f>206+75</f>
        <v>281</v>
      </c>
      <c r="AE9" s="3">
        <f>208+90</f>
        <v>298</v>
      </c>
      <c r="AF9" s="3">
        <f>138+149</f>
        <v>287</v>
      </c>
      <c r="AG9" s="3">
        <f>139+157</f>
        <v>296</v>
      </c>
      <c r="AH9" s="3">
        <f>185+114</f>
        <v>299</v>
      </c>
      <c r="AI9" s="3">
        <f>154+127</f>
        <v>281</v>
      </c>
      <c r="AJ9" s="3">
        <f>165+94</f>
        <v>259</v>
      </c>
    </row>
    <row r="10" spans="1:36" ht="33" customHeight="1">
      <c r="A10" s="19"/>
      <c r="B10" s="20" t="s">
        <v>22</v>
      </c>
      <c r="C10" s="23">
        <v>6</v>
      </c>
      <c r="D10" s="22">
        <v>6</v>
      </c>
      <c r="E10" s="22">
        <v>5</v>
      </c>
      <c r="F10" s="22"/>
      <c r="G10" s="22"/>
      <c r="H10" s="22"/>
      <c r="I10" s="22"/>
      <c r="J10" s="22"/>
      <c r="K10" s="22"/>
      <c r="L10" s="22"/>
      <c r="M10" s="22"/>
      <c r="N10" s="22"/>
      <c r="P10" s="3">
        <f>137+68</f>
        <v>205</v>
      </c>
      <c r="Q10" s="18">
        <f>175+64</f>
        <v>239</v>
      </c>
      <c r="R10" s="3">
        <f>138+120</f>
        <v>258</v>
      </c>
      <c r="S10" s="3">
        <f>145+57</f>
        <v>202</v>
      </c>
      <c r="T10" s="3">
        <f>142+56</f>
        <v>198</v>
      </c>
      <c r="U10" s="3">
        <f>142+58</f>
        <v>200</v>
      </c>
      <c r="V10" s="3">
        <f>147+51</f>
        <v>198</v>
      </c>
      <c r="W10" s="3">
        <f>183+66</f>
        <v>249</v>
      </c>
      <c r="X10" s="3">
        <f>141+70</f>
        <v>211</v>
      </c>
      <c r="Y10" s="3">
        <f>178+42</f>
        <v>220</v>
      </c>
      <c r="Z10" s="3">
        <f>158+83</f>
        <v>241</v>
      </c>
      <c r="AA10" s="3">
        <f>169+68</f>
        <v>237</v>
      </c>
      <c r="AD10" s="3">
        <f>164+88</f>
        <v>252</v>
      </c>
      <c r="AE10" s="3">
        <f>171+66</f>
        <v>237</v>
      </c>
      <c r="AF10" s="3">
        <f>168+75</f>
        <v>243</v>
      </c>
      <c r="AG10" s="3">
        <f>128+65</f>
        <v>193</v>
      </c>
      <c r="AH10" s="3">
        <f>133+61</f>
        <v>194</v>
      </c>
      <c r="AI10" s="3">
        <f>156+70</f>
        <v>226</v>
      </c>
      <c r="AJ10" s="3">
        <f>110+88</f>
        <v>198</v>
      </c>
    </row>
    <row r="11" spans="1:36" ht="33" customHeight="1">
      <c r="A11" s="19"/>
      <c r="B11" s="20" t="s">
        <v>23</v>
      </c>
      <c r="C11" s="23">
        <v>0</v>
      </c>
      <c r="D11" s="22">
        <v>0</v>
      </c>
      <c r="E11" s="22">
        <v>0</v>
      </c>
      <c r="F11" s="22"/>
      <c r="G11" s="22"/>
      <c r="H11" s="22"/>
      <c r="I11" s="22"/>
      <c r="J11" s="22"/>
      <c r="K11" s="22"/>
      <c r="L11" s="22"/>
      <c r="M11" s="22"/>
      <c r="N11" s="22"/>
      <c r="P11" s="3">
        <f>1+4</f>
        <v>5</v>
      </c>
      <c r="Q11" s="18">
        <v>2</v>
      </c>
      <c r="R11" s="3">
        <f>1+3+1</f>
        <v>5</v>
      </c>
      <c r="S11" s="3">
        <f>2+10</f>
        <v>12</v>
      </c>
      <c r="T11" s="3">
        <f>2+1</f>
        <v>3</v>
      </c>
      <c r="U11" s="3">
        <f>4+3</f>
        <v>7</v>
      </c>
      <c r="V11" s="3">
        <f>5+3+5</f>
        <v>13</v>
      </c>
      <c r="W11" s="3">
        <f>6+4+1</f>
        <v>11</v>
      </c>
      <c r="X11" s="3">
        <f>4+1</f>
        <v>5</v>
      </c>
      <c r="Y11" s="3">
        <f>2+4</f>
        <v>6</v>
      </c>
      <c r="Z11" s="3">
        <f>4+1</f>
        <v>5</v>
      </c>
      <c r="AA11" s="3">
        <f>1+1+3</f>
        <v>5</v>
      </c>
      <c r="AD11" s="3">
        <f>1+1+3</f>
        <v>5</v>
      </c>
      <c r="AE11" s="3">
        <f>2+1+3</f>
        <v>6</v>
      </c>
      <c r="AF11" s="3">
        <f>5+2+4</f>
        <v>11</v>
      </c>
      <c r="AG11" s="3">
        <f>2+1+2+3</f>
        <v>8</v>
      </c>
      <c r="AH11" s="3">
        <f>1+2+1+6</f>
        <v>10</v>
      </c>
      <c r="AI11" s="3">
        <f>2+1+4</f>
        <v>7</v>
      </c>
      <c r="AJ11" s="3">
        <f>24+1+2</f>
        <v>27</v>
      </c>
    </row>
    <row r="12" spans="1:36" ht="33" customHeight="1">
      <c r="A12" s="19"/>
      <c r="B12" s="20" t="s">
        <v>24</v>
      </c>
      <c r="C12" s="23">
        <v>68</v>
      </c>
      <c r="D12" s="22">
        <v>65</v>
      </c>
      <c r="E12" s="22">
        <v>63</v>
      </c>
      <c r="F12" s="22"/>
      <c r="G12" s="22"/>
      <c r="H12" s="22"/>
      <c r="I12" s="22"/>
      <c r="J12" s="22"/>
      <c r="K12" s="22"/>
      <c r="L12" s="22"/>
      <c r="M12" s="22"/>
      <c r="N12" s="22"/>
      <c r="P12" s="3">
        <v>2163</v>
      </c>
      <c r="Q12" s="18">
        <v>2096</v>
      </c>
      <c r="R12" s="3">
        <v>2025</v>
      </c>
      <c r="S12" s="3">
        <v>1947</v>
      </c>
      <c r="T12" s="3">
        <v>1945</v>
      </c>
      <c r="U12" s="3">
        <v>1997</v>
      </c>
      <c r="V12" s="3">
        <v>1988</v>
      </c>
      <c r="W12" s="3">
        <v>1915</v>
      </c>
      <c r="X12" s="3">
        <v>1983</v>
      </c>
      <c r="Y12" s="3">
        <v>2021</v>
      </c>
      <c r="Z12" s="3">
        <v>2045</v>
      </c>
      <c r="AA12" s="3">
        <v>1952</v>
      </c>
      <c r="AD12" s="3">
        <v>2144</v>
      </c>
      <c r="AE12" s="3">
        <v>2164</v>
      </c>
      <c r="AF12" s="3">
        <v>2055</v>
      </c>
      <c r="AG12" s="3">
        <v>2149</v>
      </c>
      <c r="AH12" s="3">
        <v>2105</v>
      </c>
      <c r="AI12" s="3">
        <v>2071</v>
      </c>
      <c r="AJ12" s="3">
        <v>1990</v>
      </c>
    </row>
    <row r="13" spans="1:36" ht="33" customHeight="1">
      <c r="A13" s="19"/>
      <c r="B13" s="20" t="s">
        <v>25</v>
      </c>
      <c r="C13" s="23">
        <v>0</v>
      </c>
      <c r="D13" s="22">
        <v>0</v>
      </c>
      <c r="E13" s="22">
        <v>0</v>
      </c>
      <c r="F13" s="22"/>
      <c r="G13" s="22"/>
      <c r="H13" s="22"/>
      <c r="I13" s="22"/>
      <c r="J13" s="22"/>
      <c r="K13" s="22"/>
      <c r="L13" s="22"/>
      <c r="M13" s="22"/>
      <c r="N13" s="22"/>
      <c r="Q13" s="18"/>
      <c r="AE13" s="3">
        <v>1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</row>
    <row r="14" spans="1:36" ht="33" customHeight="1">
      <c r="A14" s="19"/>
      <c r="B14" s="20" t="s">
        <v>26</v>
      </c>
      <c r="C14" s="23">
        <v>0</v>
      </c>
      <c r="D14" s="22">
        <v>0</v>
      </c>
      <c r="E14" s="22">
        <v>0</v>
      </c>
      <c r="F14" s="22"/>
      <c r="G14" s="22"/>
      <c r="H14" s="22"/>
      <c r="I14" s="22"/>
      <c r="J14" s="22"/>
      <c r="K14" s="22"/>
      <c r="L14" s="22"/>
      <c r="M14" s="22"/>
      <c r="N14" s="22"/>
      <c r="Q14" s="18"/>
      <c r="AD14" s="3">
        <v>1</v>
      </c>
      <c r="AE14" s="3">
        <v>0</v>
      </c>
      <c r="AF14" s="3">
        <v>0</v>
      </c>
      <c r="AG14" s="3">
        <v>0</v>
      </c>
      <c r="AH14" s="3">
        <v>1</v>
      </c>
      <c r="AI14" s="3">
        <v>0</v>
      </c>
      <c r="AJ14" s="3">
        <v>0</v>
      </c>
    </row>
    <row r="15" spans="1:36" ht="33" customHeight="1">
      <c r="A15" s="19"/>
      <c r="B15" s="24" t="s">
        <v>27</v>
      </c>
      <c r="C15" s="23">
        <v>0</v>
      </c>
      <c r="D15" s="22">
        <v>0</v>
      </c>
      <c r="E15" s="22">
        <v>0</v>
      </c>
      <c r="F15" s="22"/>
      <c r="G15" s="22"/>
      <c r="H15" s="22"/>
      <c r="I15" s="22"/>
      <c r="J15" s="22"/>
      <c r="K15" s="22"/>
      <c r="L15" s="22"/>
      <c r="M15" s="22"/>
      <c r="N15" s="22"/>
      <c r="P15" s="3">
        <v>0</v>
      </c>
      <c r="Q15" s="18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</row>
    <row r="16" spans="1:36" ht="33" customHeight="1">
      <c r="A16" s="19"/>
      <c r="B16" s="20" t="s">
        <v>28</v>
      </c>
      <c r="C16" s="23">
        <v>0</v>
      </c>
      <c r="D16" s="22">
        <v>0</v>
      </c>
      <c r="E16" s="22">
        <v>0</v>
      </c>
      <c r="F16" s="22"/>
      <c r="G16" s="22"/>
      <c r="H16" s="22"/>
      <c r="I16" s="22"/>
      <c r="J16" s="22"/>
      <c r="K16" s="22"/>
      <c r="L16" s="22"/>
      <c r="M16" s="22"/>
      <c r="N16" s="22"/>
      <c r="P16" s="3">
        <v>0</v>
      </c>
      <c r="Q16" s="18">
        <v>0</v>
      </c>
      <c r="R16" s="3">
        <v>0</v>
      </c>
      <c r="S16" s="3">
        <v>1</v>
      </c>
      <c r="T16" s="3">
        <v>0</v>
      </c>
      <c r="U16" s="3">
        <v>1</v>
      </c>
      <c r="V16" s="3">
        <v>2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</row>
    <row r="17" spans="1:36" ht="33" customHeight="1">
      <c r="A17" s="19"/>
      <c r="B17" s="20" t="s">
        <v>29</v>
      </c>
      <c r="C17" s="23">
        <v>0</v>
      </c>
      <c r="D17" s="22">
        <v>0</v>
      </c>
      <c r="E17" s="22">
        <v>0</v>
      </c>
      <c r="F17" s="22"/>
      <c r="G17" s="22"/>
      <c r="H17" s="22"/>
      <c r="I17" s="22"/>
      <c r="J17" s="22"/>
      <c r="K17" s="22"/>
      <c r="L17" s="22"/>
      <c r="M17" s="22"/>
      <c r="N17" s="22"/>
      <c r="P17" s="3">
        <v>0</v>
      </c>
      <c r="Q17" s="18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</row>
    <row r="18" spans="1:36" ht="33" customHeight="1">
      <c r="A18" s="19"/>
      <c r="B18" s="25" t="s">
        <v>30</v>
      </c>
      <c r="C18" s="23">
        <v>0</v>
      </c>
      <c r="D18" s="22">
        <v>0</v>
      </c>
      <c r="E18" s="22">
        <v>0</v>
      </c>
      <c r="F18" s="22"/>
      <c r="G18" s="22"/>
      <c r="H18" s="22"/>
      <c r="I18" s="22"/>
      <c r="J18" s="22"/>
      <c r="K18" s="22"/>
      <c r="L18" s="22"/>
      <c r="M18" s="22"/>
      <c r="N18" s="22"/>
      <c r="P18" s="3">
        <v>0</v>
      </c>
      <c r="Q18" s="18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</row>
    <row r="19" spans="1:36" ht="33" customHeight="1">
      <c r="A19" s="19"/>
      <c r="B19" s="24" t="s">
        <v>31</v>
      </c>
      <c r="C19" s="23">
        <v>0</v>
      </c>
      <c r="D19" s="22">
        <v>0</v>
      </c>
      <c r="E19" s="22">
        <v>0</v>
      </c>
      <c r="F19" s="22"/>
      <c r="G19" s="22"/>
      <c r="H19" s="22"/>
      <c r="I19" s="22"/>
      <c r="J19" s="22"/>
      <c r="K19" s="22"/>
      <c r="L19" s="22"/>
      <c r="M19" s="22"/>
      <c r="N19" s="22"/>
      <c r="P19" s="3">
        <v>0</v>
      </c>
      <c r="Q19" s="18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</row>
    <row r="20" spans="1:36" ht="33" customHeight="1">
      <c r="A20" s="19"/>
      <c r="B20" s="25" t="s">
        <v>32</v>
      </c>
      <c r="C20" s="23">
        <v>0</v>
      </c>
      <c r="D20" s="22">
        <v>0</v>
      </c>
      <c r="E20" s="22">
        <v>0</v>
      </c>
      <c r="F20" s="22"/>
      <c r="G20" s="22"/>
      <c r="H20" s="22"/>
      <c r="I20" s="22"/>
      <c r="J20" s="22"/>
      <c r="K20" s="22"/>
      <c r="L20" s="22"/>
      <c r="M20" s="22"/>
      <c r="N20" s="22"/>
      <c r="Q20" s="18"/>
      <c r="AD20" s="3">
        <v>1</v>
      </c>
      <c r="AE20" s="3">
        <v>0</v>
      </c>
      <c r="AF20" s="3">
        <v>1</v>
      </c>
      <c r="AG20" s="3">
        <v>0</v>
      </c>
      <c r="AH20" s="3">
        <v>1</v>
      </c>
      <c r="AI20" s="3">
        <v>1</v>
      </c>
      <c r="AJ20" s="3">
        <v>2</v>
      </c>
    </row>
    <row r="21" spans="1:36" ht="33" customHeight="1">
      <c r="A21" s="19"/>
      <c r="B21" s="25" t="s">
        <v>33</v>
      </c>
      <c r="C21" s="23">
        <v>0</v>
      </c>
      <c r="D21" s="22">
        <v>0</v>
      </c>
      <c r="E21" s="22">
        <v>0</v>
      </c>
      <c r="F21" s="22"/>
      <c r="G21" s="22"/>
      <c r="H21" s="22"/>
      <c r="I21" s="22"/>
      <c r="J21" s="22"/>
      <c r="K21" s="22"/>
      <c r="L21" s="22"/>
      <c r="M21" s="22"/>
      <c r="N21" s="22"/>
      <c r="P21" s="3">
        <v>0</v>
      </c>
      <c r="Q21" s="18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1</v>
      </c>
      <c r="AA21" s="3">
        <v>1</v>
      </c>
      <c r="AD21" s="3">
        <v>0</v>
      </c>
      <c r="AE21" s="3">
        <v>0</v>
      </c>
      <c r="AF21" s="3">
        <v>1</v>
      </c>
      <c r="AG21" s="3">
        <v>0</v>
      </c>
      <c r="AH21" s="3">
        <v>0</v>
      </c>
      <c r="AI21" s="3">
        <v>2</v>
      </c>
    </row>
    <row r="22" spans="1:36" ht="33" customHeight="1" thickBot="1">
      <c r="A22" s="19"/>
      <c r="B22" s="25" t="s">
        <v>34</v>
      </c>
      <c r="C22" s="23">
        <v>0</v>
      </c>
      <c r="D22" s="26">
        <v>0</v>
      </c>
      <c r="E22" s="22">
        <v>0</v>
      </c>
      <c r="F22" s="22"/>
      <c r="G22" s="22"/>
      <c r="H22" s="22"/>
      <c r="I22" s="22"/>
      <c r="J22" s="22"/>
      <c r="K22" s="22"/>
      <c r="L22" s="22"/>
      <c r="M22" s="22"/>
      <c r="N22" s="22"/>
      <c r="P22" s="3">
        <v>0</v>
      </c>
      <c r="Q22" s="18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</row>
    <row r="23" spans="1:36" ht="33" customHeight="1" thickBot="1">
      <c r="A23" s="27"/>
      <c r="B23" s="28" t="s">
        <v>35</v>
      </c>
      <c r="C23" s="29">
        <f t="shared" ref="C23:N23" si="0">SUM(C4:C22)</f>
        <v>129</v>
      </c>
      <c r="D23" s="30">
        <f t="shared" si="0"/>
        <v>125</v>
      </c>
      <c r="E23" s="30">
        <f>SUM(E4:E22)</f>
        <v>124</v>
      </c>
      <c r="F23" s="30">
        <f t="shared" si="0"/>
        <v>0</v>
      </c>
      <c r="G23" s="30">
        <f t="shared" si="0"/>
        <v>0</v>
      </c>
      <c r="H23" s="30">
        <f t="shared" si="0"/>
        <v>0</v>
      </c>
      <c r="I23" s="30">
        <f t="shared" si="0"/>
        <v>0</v>
      </c>
      <c r="J23" s="30">
        <f t="shared" si="0"/>
        <v>0</v>
      </c>
      <c r="K23" s="30">
        <f t="shared" si="0"/>
        <v>0</v>
      </c>
      <c r="L23" s="30">
        <f t="shared" si="0"/>
        <v>0</v>
      </c>
      <c r="M23" s="30">
        <f t="shared" si="0"/>
        <v>0</v>
      </c>
      <c r="N23" s="31">
        <f t="shared" si="0"/>
        <v>0</v>
      </c>
      <c r="P23" s="3">
        <f t="shared" ref="P23:V23" si="1">SUM(P4:P22)</f>
        <v>4042</v>
      </c>
      <c r="Q23" s="3">
        <f t="shared" si="1"/>
        <v>4037</v>
      </c>
      <c r="R23" s="3">
        <f t="shared" si="1"/>
        <v>3941</v>
      </c>
      <c r="S23" s="3">
        <f t="shared" si="1"/>
        <v>3781</v>
      </c>
      <c r="T23" s="32">
        <f t="shared" si="1"/>
        <v>3834</v>
      </c>
      <c r="U23" s="32">
        <f t="shared" si="1"/>
        <v>3943</v>
      </c>
      <c r="V23" s="32">
        <f t="shared" si="1"/>
        <v>3866</v>
      </c>
      <c r="W23" s="33">
        <f>SUM(W4:W22)</f>
        <v>3896</v>
      </c>
      <c r="X23" s="33">
        <f>SUM(X4:X22)</f>
        <v>3833</v>
      </c>
      <c r="Y23" s="32">
        <f>SUM(Y4:Y22)</f>
        <v>3866</v>
      </c>
      <c r="Z23" s="32">
        <f>SUM(Z4:Z22)</f>
        <v>3903</v>
      </c>
      <c r="AA23" s="32">
        <f>SUM(AA4:AA22)</f>
        <v>3795</v>
      </c>
      <c r="AB23" s="32"/>
      <c r="AC23" s="3">
        <v>3797</v>
      </c>
      <c r="AD23" s="3">
        <f t="shared" ref="AD23:AI23" si="2">SUM(AD4:AD22)</f>
        <v>4091</v>
      </c>
      <c r="AE23" s="3">
        <f t="shared" si="2"/>
        <v>4099</v>
      </c>
      <c r="AF23" s="3">
        <f t="shared" si="2"/>
        <v>3994</v>
      </c>
      <c r="AG23" s="3">
        <f t="shared" si="2"/>
        <v>4055</v>
      </c>
      <c r="AH23" s="3">
        <f t="shared" si="2"/>
        <v>4046</v>
      </c>
      <c r="AI23" s="3">
        <f t="shared" si="2"/>
        <v>4046</v>
      </c>
      <c r="AJ23" s="3">
        <f>SUM(AJ4:AJ22)</f>
        <v>3887</v>
      </c>
    </row>
    <row r="24" spans="1:36" ht="33" customHeight="1">
      <c r="A24" s="34" t="s">
        <v>36</v>
      </c>
      <c r="B24" s="35" t="s">
        <v>24</v>
      </c>
      <c r="C24" s="36">
        <v>2</v>
      </c>
      <c r="D24" s="37">
        <v>3</v>
      </c>
      <c r="E24" s="37">
        <v>4</v>
      </c>
      <c r="F24" s="37"/>
      <c r="G24" s="37"/>
      <c r="H24" s="37"/>
      <c r="I24" s="22"/>
      <c r="J24" s="22"/>
      <c r="K24" s="37"/>
      <c r="L24" s="37"/>
      <c r="M24" s="37"/>
      <c r="N24" s="37"/>
      <c r="P24" s="3">
        <f>95+31</f>
        <v>126</v>
      </c>
      <c r="Q24" s="18">
        <f>102+33</f>
        <v>135</v>
      </c>
      <c r="R24" s="3">
        <f>105+37</f>
        <v>142</v>
      </c>
      <c r="S24" s="3">
        <f>116+34</f>
        <v>150</v>
      </c>
      <c r="T24" s="3">
        <f>100+37</f>
        <v>137</v>
      </c>
      <c r="U24" s="3">
        <f>90+33</f>
        <v>123</v>
      </c>
      <c r="V24" s="3">
        <f>91+33</f>
        <v>124</v>
      </c>
      <c r="W24" s="38">
        <f>107+32</f>
        <v>139</v>
      </c>
      <c r="X24" s="3">
        <f>74+29</f>
        <v>103</v>
      </c>
      <c r="Y24" s="3">
        <f>99+33</f>
        <v>132</v>
      </c>
      <c r="Z24" s="3">
        <f>79+33</f>
        <v>112</v>
      </c>
      <c r="AA24" s="3">
        <f>79+32</f>
        <v>111</v>
      </c>
      <c r="AC24" s="3">
        <f>+AC23/29</f>
        <v>130.93103448275863</v>
      </c>
      <c r="AD24" s="3">
        <f>100+34</f>
        <v>134</v>
      </c>
      <c r="AE24" s="3">
        <f>82+30</f>
        <v>112</v>
      </c>
      <c r="AF24" s="3">
        <f>95+33</f>
        <v>128</v>
      </c>
      <c r="AG24" s="3">
        <f>98+30</f>
        <v>128</v>
      </c>
      <c r="AH24" s="3">
        <f>102+29</f>
        <v>131</v>
      </c>
      <c r="AI24" s="3">
        <f>101+19</f>
        <v>120</v>
      </c>
      <c r="AJ24" s="3">
        <f>106+28</f>
        <v>134</v>
      </c>
    </row>
    <row r="25" spans="1:36" ht="33" customHeight="1">
      <c r="A25" s="39"/>
      <c r="B25" s="20" t="s">
        <v>20</v>
      </c>
      <c r="C25" s="36">
        <v>4</v>
      </c>
      <c r="D25" s="37">
        <v>3</v>
      </c>
      <c r="E25" s="37">
        <v>2</v>
      </c>
      <c r="F25" s="37"/>
      <c r="G25" s="37"/>
      <c r="H25" s="37"/>
      <c r="I25" s="22"/>
      <c r="J25" s="22"/>
      <c r="K25" s="22"/>
      <c r="L25" s="22"/>
      <c r="M25" s="22"/>
      <c r="N25" s="22"/>
      <c r="P25" s="3">
        <f>26+71</f>
        <v>97</v>
      </c>
      <c r="Q25" s="18">
        <f>2+117</f>
        <v>119</v>
      </c>
      <c r="R25" s="3">
        <f>3+103</f>
        <v>106</v>
      </c>
      <c r="S25" s="3">
        <f>1+85</f>
        <v>86</v>
      </c>
      <c r="T25" s="3">
        <f>3+89</f>
        <v>92</v>
      </c>
      <c r="U25" s="3">
        <f>1+59</f>
        <v>60</v>
      </c>
      <c r="V25" s="3">
        <f>2+65</f>
        <v>67</v>
      </c>
      <c r="W25" s="3">
        <f>2+115</f>
        <v>117</v>
      </c>
      <c r="X25" s="3">
        <f>5+121</f>
        <v>126</v>
      </c>
      <c r="Y25" s="3">
        <v>147</v>
      </c>
      <c r="Z25" s="3">
        <f>10+146</f>
        <v>156</v>
      </c>
      <c r="AA25" s="3">
        <v>120</v>
      </c>
      <c r="AD25" s="3">
        <v>172</v>
      </c>
      <c r="AE25" s="3">
        <f>1+160</f>
        <v>161</v>
      </c>
      <c r="AF25" s="3">
        <f>2+134</f>
        <v>136</v>
      </c>
      <c r="AG25" s="3">
        <f>2+96</f>
        <v>98</v>
      </c>
      <c r="AH25" s="3">
        <v>67</v>
      </c>
      <c r="AI25" s="3">
        <f>1+69</f>
        <v>70</v>
      </c>
      <c r="AJ25" s="3">
        <v>56</v>
      </c>
    </row>
    <row r="26" spans="1:36" ht="33" customHeight="1">
      <c r="A26" s="39"/>
      <c r="B26" s="20" t="s">
        <v>16</v>
      </c>
      <c r="C26" s="36">
        <v>0</v>
      </c>
      <c r="D26" s="37">
        <v>0</v>
      </c>
      <c r="E26" s="37">
        <v>0</v>
      </c>
      <c r="F26" s="37"/>
      <c r="G26" s="37"/>
      <c r="H26" s="37"/>
      <c r="I26" s="22"/>
      <c r="J26" s="22"/>
      <c r="K26" s="37"/>
      <c r="L26" s="37"/>
      <c r="M26" s="37"/>
      <c r="N26" s="37"/>
      <c r="P26" s="3">
        <v>0</v>
      </c>
      <c r="Q26" s="18">
        <v>0</v>
      </c>
      <c r="R26" s="18">
        <v>0</v>
      </c>
      <c r="S26" s="18">
        <v>1</v>
      </c>
      <c r="T26" s="18">
        <v>0</v>
      </c>
      <c r="U26" s="18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</row>
    <row r="27" spans="1:36" ht="33" customHeight="1">
      <c r="A27" s="39"/>
      <c r="B27" s="20" t="s">
        <v>17</v>
      </c>
      <c r="C27" s="36">
        <v>0</v>
      </c>
      <c r="D27" s="37">
        <v>0</v>
      </c>
      <c r="E27" s="37">
        <v>0</v>
      </c>
      <c r="F27" s="37"/>
      <c r="G27" s="37"/>
      <c r="H27" s="37"/>
      <c r="I27" s="22"/>
      <c r="J27" s="22"/>
      <c r="K27" s="37"/>
      <c r="L27" s="37"/>
      <c r="M27" s="37"/>
      <c r="N27" s="37"/>
      <c r="P27" s="3">
        <v>20</v>
      </c>
      <c r="Q27" s="18">
        <v>21</v>
      </c>
      <c r="R27" s="3">
        <v>16</v>
      </c>
      <c r="S27" s="3">
        <v>18</v>
      </c>
      <c r="T27" s="3">
        <v>12</v>
      </c>
      <c r="U27" s="3">
        <v>15</v>
      </c>
      <c r="V27" s="3">
        <v>16</v>
      </c>
      <c r="W27" s="3">
        <v>17</v>
      </c>
      <c r="X27" s="3">
        <v>13</v>
      </c>
      <c r="Y27" s="3">
        <v>13</v>
      </c>
      <c r="Z27" s="3">
        <v>9</v>
      </c>
      <c r="AA27" s="3">
        <v>9</v>
      </c>
      <c r="AD27" s="3">
        <v>7</v>
      </c>
      <c r="AE27" s="3">
        <v>14</v>
      </c>
      <c r="AF27" s="3">
        <v>4</v>
      </c>
      <c r="AG27" s="3">
        <v>2</v>
      </c>
      <c r="AH27" s="3">
        <v>0</v>
      </c>
      <c r="AI27" s="3">
        <v>1</v>
      </c>
      <c r="AJ27" s="3">
        <v>2</v>
      </c>
    </row>
    <row r="28" spans="1:36" ht="33" customHeight="1">
      <c r="A28" s="39"/>
      <c r="B28" s="20" t="s">
        <v>19</v>
      </c>
      <c r="C28" s="36">
        <v>0</v>
      </c>
      <c r="D28" s="37">
        <v>0</v>
      </c>
      <c r="E28" s="37">
        <v>0</v>
      </c>
      <c r="F28" s="37"/>
      <c r="G28" s="37"/>
      <c r="H28" s="37"/>
      <c r="I28" s="22"/>
      <c r="J28" s="22"/>
      <c r="K28" s="37"/>
      <c r="L28" s="37"/>
      <c r="M28" s="37"/>
      <c r="N28" s="37"/>
      <c r="P28" s="3">
        <v>0</v>
      </c>
      <c r="Q28" s="18">
        <v>0</v>
      </c>
      <c r="R28" s="3">
        <v>0</v>
      </c>
      <c r="S28" s="3">
        <v>2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</row>
    <row r="29" spans="1:36" ht="33" customHeight="1">
      <c r="A29" s="39"/>
      <c r="B29" s="20" t="s">
        <v>22</v>
      </c>
      <c r="C29" s="36">
        <v>79</v>
      </c>
      <c r="D29" s="37">
        <v>86</v>
      </c>
      <c r="E29" s="37">
        <v>93</v>
      </c>
      <c r="F29" s="37"/>
      <c r="G29" s="37"/>
      <c r="H29" s="37"/>
      <c r="I29" s="22"/>
      <c r="J29" s="22"/>
      <c r="K29" s="37"/>
      <c r="L29" s="37"/>
      <c r="M29" s="37"/>
      <c r="N29" s="37"/>
      <c r="P29" s="3">
        <f>2134+1123+84+36</f>
        <v>3377</v>
      </c>
      <c r="Q29" s="18">
        <f>2303+1141+86+34</f>
        <v>3564</v>
      </c>
      <c r="R29" s="3">
        <f>2236+1106+78+30</f>
        <v>3450</v>
      </c>
      <c r="S29" s="3">
        <f>1890+1122+86+40</f>
        <v>3138</v>
      </c>
      <c r="T29" s="3">
        <f>1861+1087+122+42</f>
        <v>3112</v>
      </c>
      <c r="U29" s="3">
        <f>1816+1062+118+45</f>
        <v>3041</v>
      </c>
      <c r="V29" s="3">
        <f>1899+1073+123+38</f>
        <v>3133</v>
      </c>
      <c r="W29" s="3">
        <f>1926+1004+139+50</f>
        <v>3119</v>
      </c>
      <c r="X29" s="3">
        <f>2063+1073+123+56</f>
        <v>3315</v>
      </c>
      <c r="Y29" s="3">
        <f>2137+1148+127+39</f>
        <v>3451</v>
      </c>
      <c r="Z29" s="3">
        <f>1878+1055+132+64</f>
        <v>3129</v>
      </c>
      <c r="AA29" s="3">
        <f>1731+1002+128+58</f>
        <v>2919</v>
      </c>
      <c r="AD29" s="3">
        <f>2129+1103+182+50</f>
        <v>3464</v>
      </c>
      <c r="AE29" s="3">
        <f>1811+1129+170+53</f>
        <v>3163</v>
      </c>
      <c r="AF29" s="3">
        <f>1879+1121+155+59</f>
        <v>3214</v>
      </c>
      <c r="AG29" s="3">
        <f>1995+1094+155+58</f>
        <v>3302</v>
      </c>
      <c r="AH29" s="3">
        <f>2048+1038+134+92</f>
        <v>3312</v>
      </c>
      <c r="AI29" s="3">
        <f>1963+1078+177+59</f>
        <v>3277</v>
      </c>
      <c r="AJ29" s="3">
        <f>1959+1072+144+64</f>
        <v>3239</v>
      </c>
    </row>
    <row r="30" spans="1:36" ht="33" customHeight="1">
      <c r="A30" s="39"/>
      <c r="B30" s="20" t="s">
        <v>37</v>
      </c>
      <c r="C30" s="36">
        <v>78</v>
      </c>
      <c r="D30" s="37">
        <v>64</v>
      </c>
      <c r="E30" s="37">
        <v>62</v>
      </c>
      <c r="F30" s="37"/>
      <c r="G30" s="37"/>
      <c r="H30" s="37"/>
      <c r="I30" s="22"/>
      <c r="J30" s="22"/>
      <c r="K30" s="37"/>
      <c r="L30" s="37"/>
      <c r="M30" s="37"/>
      <c r="N30" s="37"/>
      <c r="P30" s="3">
        <f>271+530+800+2</f>
        <v>1603</v>
      </c>
      <c r="Q30" s="18">
        <f>298+546+763</f>
        <v>1607</v>
      </c>
      <c r="R30" s="3">
        <f>750+579+278+3</f>
        <v>1610</v>
      </c>
      <c r="S30" s="3">
        <f>698+585+261+4</f>
        <v>1548</v>
      </c>
      <c r="T30" s="3">
        <f>790+564+253+1+1</f>
        <v>1609</v>
      </c>
      <c r="U30" s="3">
        <f>826+578+252+5+1+1</f>
        <v>1663</v>
      </c>
      <c r="V30" s="3">
        <f>769+572+268</f>
        <v>1609</v>
      </c>
      <c r="W30" s="3">
        <f>806+603+286+6+3+3</f>
        <v>1707</v>
      </c>
      <c r="X30" s="3">
        <f>802+582+321+30+4+1</f>
        <v>1740</v>
      </c>
      <c r="Y30" s="3">
        <f>739+584+256+54+1+2</f>
        <v>1636</v>
      </c>
      <c r="Z30" s="3">
        <f>772+586+259+53+1+1+1+1</f>
        <v>1674</v>
      </c>
      <c r="AA30" s="3">
        <f>52+235+575+737+0+2+4+2</f>
        <v>1607</v>
      </c>
      <c r="AD30" s="3">
        <f>821+654+341+55+6+6+2+4</f>
        <v>1889</v>
      </c>
      <c r="AE30" s="3">
        <f>828+627+331+52+1+2+1</f>
        <v>1842</v>
      </c>
      <c r="AF30" s="3">
        <f>47+314+639+826+5+3+2</f>
        <v>1836</v>
      </c>
      <c r="AG30" s="3">
        <f>549+508+268+35+7+1+0</f>
        <v>1368</v>
      </c>
      <c r="AH30" s="3">
        <f>708+631+272+18+2</f>
        <v>1631</v>
      </c>
      <c r="AI30" s="3">
        <f>668+656+274+29+1</f>
        <v>1628</v>
      </c>
      <c r="AJ30" s="3">
        <f>764+660+268+17+2</f>
        <v>1711</v>
      </c>
    </row>
    <row r="31" spans="1:36" ht="33" customHeight="1">
      <c r="A31" s="39"/>
      <c r="B31" s="20" t="s">
        <v>30</v>
      </c>
      <c r="C31" s="36">
        <v>1</v>
      </c>
      <c r="D31" s="37">
        <v>4</v>
      </c>
      <c r="E31" s="37">
        <v>0</v>
      </c>
      <c r="F31" s="37"/>
      <c r="G31" s="37"/>
      <c r="H31" s="37"/>
      <c r="I31" s="22"/>
      <c r="J31" s="22"/>
      <c r="K31" s="37"/>
      <c r="L31" s="37"/>
      <c r="M31" s="37"/>
      <c r="N31" s="37"/>
      <c r="P31" s="3">
        <v>0</v>
      </c>
      <c r="Q31" s="18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</row>
    <row r="32" spans="1:36" ht="33" customHeight="1">
      <c r="A32" s="39"/>
      <c r="B32" s="20" t="s">
        <v>21</v>
      </c>
      <c r="C32" s="36">
        <v>18</v>
      </c>
      <c r="D32" s="37">
        <v>23</v>
      </c>
      <c r="E32" s="37">
        <v>21</v>
      </c>
      <c r="F32" s="37"/>
      <c r="G32" s="37"/>
      <c r="H32" s="37"/>
      <c r="I32" s="22"/>
      <c r="J32" s="22"/>
      <c r="K32" s="37"/>
      <c r="L32" s="37"/>
      <c r="M32" s="37"/>
      <c r="N32" s="37"/>
      <c r="P32" s="3">
        <f>640+166+80+3</f>
        <v>889</v>
      </c>
      <c r="Q32" s="18">
        <f>645+206+62+2</f>
        <v>915</v>
      </c>
      <c r="R32" s="3">
        <f>629+142+82+1</f>
        <v>854</v>
      </c>
      <c r="S32" s="3">
        <f>614+204+34+5</f>
        <v>857</v>
      </c>
      <c r="T32" s="3">
        <f>610+209+46+1</f>
        <v>866</v>
      </c>
      <c r="U32" s="3">
        <f>620+187+29+7</f>
        <v>843</v>
      </c>
      <c r="V32" s="3">
        <f>590+158+6+12</f>
        <v>766</v>
      </c>
      <c r="W32" s="3">
        <f>638+135+18+2</f>
        <v>793</v>
      </c>
      <c r="X32" s="3">
        <f>605+149+44+9</f>
        <v>807</v>
      </c>
      <c r="Y32" s="3">
        <f>533+189+35+7</f>
        <v>764</v>
      </c>
      <c r="Z32" s="3">
        <f>586+167+2+60</f>
        <v>815</v>
      </c>
      <c r="AA32" s="3">
        <f>508+191+45+17</f>
        <v>761</v>
      </c>
      <c r="AD32" s="3">
        <f>572+233+10</f>
        <v>815</v>
      </c>
      <c r="AE32" s="3">
        <f>530+217+15+10</f>
        <v>772</v>
      </c>
      <c r="AF32" s="3">
        <f>584+141+54+2</f>
        <v>781</v>
      </c>
      <c r="AG32" s="3">
        <f>569+116+45+1</f>
        <v>731</v>
      </c>
      <c r="AH32" s="3">
        <f>487+187+40+7</f>
        <v>721</v>
      </c>
      <c r="AI32" s="3">
        <f>510+159+17+5</f>
        <v>691</v>
      </c>
      <c r="AJ32" s="3">
        <f>508+168+22+13</f>
        <v>711</v>
      </c>
    </row>
    <row r="33" spans="1:36" ht="33" customHeight="1">
      <c r="A33" s="39"/>
      <c r="B33" s="25" t="s">
        <v>28</v>
      </c>
      <c r="C33" s="36">
        <v>14</v>
      </c>
      <c r="D33" s="37">
        <v>14</v>
      </c>
      <c r="E33" s="37">
        <v>13</v>
      </c>
      <c r="F33" s="37"/>
      <c r="G33" s="37"/>
      <c r="H33" s="37"/>
      <c r="I33" s="22"/>
      <c r="J33" s="22"/>
      <c r="K33" s="37"/>
      <c r="L33" s="37"/>
      <c r="M33" s="37"/>
      <c r="N33" s="37"/>
      <c r="P33" s="3">
        <f>830+31</f>
        <v>861</v>
      </c>
      <c r="Q33" s="18">
        <f>795+36</f>
        <v>831</v>
      </c>
      <c r="R33" s="3">
        <f>750+40</f>
        <v>790</v>
      </c>
      <c r="S33" s="3">
        <f>713+54</f>
        <v>767</v>
      </c>
      <c r="T33" s="3">
        <f>826+60</f>
        <v>886</v>
      </c>
      <c r="U33" s="3">
        <f>816+49</f>
        <v>865</v>
      </c>
      <c r="V33" s="3">
        <f>744+33</f>
        <v>777</v>
      </c>
      <c r="W33" s="3">
        <f>718+32</f>
        <v>750</v>
      </c>
      <c r="X33" s="3">
        <f>668+63</f>
        <v>731</v>
      </c>
      <c r="Y33" s="3">
        <f>608+63</f>
        <v>671</v>
      </c>
      <c r="Z33" s="3">
        <f>534+29</f>
        <v>563</v>
      </c>
      <c r="AA33" s="3">
        <f>533+23</f>
        <v>556</v>
      </c>
      <c r="AD33" s="3">
        <f>540+38</f>
        <v>578</v>
      </c>
      <c r="AE33" s="3">
        <f>538+37</f>
        <v>575</v>
      </c>
      <c r="AF33" s="3">
        <f>514+31</f>
        <v>545</v>
      </c>
      <c r="AG33" s="3">
        <f>515+30</f>
        <v>545</v>
      </c>
      <c r="AH33" s="3">
        <f>537+23</f>
        <v>560</v>
      </c>
      <c r="AI33" s="3">
        <f>459+29</f>
        <v>488</v>
      </c>
      <c r="AJ33" s="3">
        <f>444+27</f>
        <v>471</v>
      </c>
    </row>
    <row r="34" spans="1:36" ht="33" customHeight="1">
      <c r="A34" s="39"/>
      <c r="B34" s="25" t="s">
        <v>34</v>
      </c>
      <c r="C34" s="36">
        <v>0</v>
      </c>
      <c r="D34" s="37">
        <v>0</v>
      </c>
      <c r="E34" s="37">
        <v>0</v>
      </c>
      <c r="F34" s="37"/>
      <c r="G34" s="37"/>
      <c r="H34" s="37"/>
      <c r="I34" s="22"/>
      <c r="J34" s="22"/>
      <c r="K34" s="37"/>
      <c r="L34" s="37"/>
      <c r="M34" s="37"/>
      <c r="N34" s="37"/>
      <c r="P34" s="3">
        <v>4</v>
      </c>
      <c r="Q34" s="18">
        <v>1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D34" s="3">
        <v>0</v>
      </c>
      <c r="AE34" s="3">
        <v>0</v>
      </c>
      <c r="AF34" s="18">
        <v>0</v>
      </c>
      <c r="AG34" s="3">
        <v>0</v>
      </c>
      <c r="AH34" s="3">
        <v>0</v>
      </c>
      <c r="AI34" s="3">
        <v>0</v>
      </c>
      <c r="AJ34" s="3">
        <v>0</v>
      </c>
    </row>
    <row r="35" spans="1:36" ht="33" customHeight="1">
      <c r="A35" s="39"/>
      <c r="B35" s="24" t="s">
        <v>31</v>
      </c>
      <c r="C35" s="36">
        <v>13</v>
      </c>
      <c r="D35" s="37">
        <v>13</v>
      </c>
      <c r="E35" s="37">
        <v>13</v>
      </c>
      <c r="F35" s="37"/>
      <c r="G35" s="37"/>
      <c r="H35" s="37"/>
      <c r="I35" s="22"/>
      <c r="J35" s="22"/>
      <c r="K35" s="37"/>
      <c r="L35" s="37"/>
      <c r="M35" s="37"/>
      <c r="N35" s="37"/>
      <c r="P35" s="3">
        <v>443</v>
      </c>
      <c r="Q35" s="18">
        <v>458</v>
      </c>
      <c r="R35" s="3">
        <v>466</v>
      </c>
      <c r="S35" s="3">
        <v>444</v>
      </c>
      <c r="T35" s="3">
        <v>427</v>
      </c>
      <c r="U35" s="3">
        <v>440</v>
      </c>
      <c r="V35" s="3">
        <v>411</v>
      </c>
      <c r="W35" s="3">
        <v>386</v>
      </c>
      <c r="X35" s="3">
        <v>400</v>
      </c>
      <c r="Y35" s="3">
        <v>413</v>
      </c>
      <c r="Z35" s="3">
        <v>416</v>
      </c>
      <c r="AA35" s="3">
        <v>387</v>
      </c>
      <c r="AD35" s="3">
        <f>381+1</f>
        <v>382</v>
      </c>
      <c r="AE35" s="3">
        <v>408</v>
      </c>
      <c r="AF35" s="3">
        <f>429+1</f>
        <v>430</v>
      </c>
      <c r="AG35" s="3">
        <v>253</v>
      </c>
      <c r="AH35" s="3">
        <v>289</v>
      </c>
      <c r="AI35" s="3">
        <f>301+0</f>
        <v>301</v>
      </c>
      <c r="AJ35" s="3">
        <v>308</v>
      </c>
    </row>
    <row r="36" spans="1:36" ht="33" customHeight="1">
      <c r="A36" s="39"/>
      <c r="B36" s="25" t="s">
        <v>38</v>
      </c>
      <c r="C36" s="36">
        <v>1</v>
      </c>
      <c r="D36" s="37">
        <v>1</v>
      </c>
      <c r="E36" s="37">
        <v>1</v>
      </c>
      <c r="F36" s="37"/>
      <c r="G36" s="37"/>
      <c r="H36" s="37"/>
      <c r="I36" s="22"/>
      <c r="J36" s="22"/>
      <c r="K36" s="37"/>
      <c r="L36" s="37"/>
      <c r="M36" s="37"/>
      <c r="N36" s="37"/>
      <c r="P36" s="3">
        <v>36</v>
      </c>
      <c r="Q36" s="18">
        <v>18</v>
      </c>
      <c r="R36" s="3">
        <v>17</v>
      </c>
      <c r="S36" s="3">
        <v>22</v>
      </c>
      <c r="T36" s="3">
        <v>23</v>
      </c>
      <c r="U36" s="3">
        <v>22</v>
      </c>
      <c r="V36" s="3">
        <v>33</v>
      </c>
      <c r="W36" s="3">
        <v>32</v>
      </c>
      <c r="X36" s="3">
        <v>50</v>
      </c>
      <c r="Y36" s="3">
        <v>34</v>
      </c>
      <c r="Z36" s="3">
        <v>38</v>
      </c>
      <c r="AA36" s="3">
        <v>35</v>
      </c>
      <c r="AD36" s="3">
        <v>26</v>
      </c>
      <c r="AE36" s="3">
        <v>33</v>
      </c>
      <c r="AF36" s="3">
        <v>36</v>
      </c>
      <c r="AG36" s="3">
        <v>27</v>
      </c>
      <c r="AH36" s="3">
        <v>24</v>
      </c>
      <c r="AI36" s="3">
        <v>6</v>
      </c>
      <c r="AJ36" s="3">
        <v>14</v>
      </c>
    </row>
    <row r="37" spans="1:36" ht="33" customHeight="1">
      <c r="A37" s="39"/>
      <c r="B37" s="40" t="s">
        <v>39</v>
      </c>
      <c r="C37" s="36">
        <v>2</v>
      </c>
      <c r="D37" s="37">
        <v>3</v>
      </c>
      <c r="E37" s="37">
        <v>2</v>
      </c>
      <c r="F37" s="37"/>
      <c r="G37" s="37"/>
      <c r="H37" s="37"/>
      <c r="I37" s="22"/>
      <c r="J37" s="22"/>
      <c r="K37" s="37"/>
      <c r="L37" s="37"/>
      <c r="M37" s="37"/>
      <c r="N37" s="37"/>
      <c r="P37" s="3">
        <v>18</v>
      </c>
      <c r="Q37" s="18">
        <v>27</v>
      </c>
      <c r="R37" s="3">
        <v>58</v>
      </c>
      <c r="S37" s="41">
        <v>79</v>
      </c>
      <c r="T37" s="3">
        <v>62</v>
      </c>
      <c r="U37" s="3">
        <v>65</v>
      </c>
      <c r="V37" s="3">
        <v>61</v>
      </c>
      <c r="W37" s="3">
        <v>72</v>
      </c>
      <c r="X37" s="3">
        <v>60</v>
      </c>
      <c r="Y37" s="3">
        <v>61</v>
      </c>
      <c r="Z37" s="3">
        <v>64</v>
      </c>
      <c r="AA37" s="3">
        <v>54</v>
      </c>
      <c r="AD37" s="3">
        <v>78</v>
      </c>
      <c r="AE37" s="3">
        <v>59</v>
      </c>
      <c r="AF37" s="3">
        <v>57</v>
      </c>
      <c r="AG37" s="3">
        <v>29</v>
      </c>
      <c r="AH37" s="3">
        <v>66</v>
      </c>
      <c r="AI37" s="3">
        <v>71</v>
      </c>
      <c r="AJ37" s="3">
        <v>65</v>
      </c>
    </row>
    <row r="38" spans="1:36" ht="33" customHeight="1">
      <c r="A38" s="39"/>
      <c r="B38" s="24" t="s">
        <v>27</v>
      </c>
      <c r="C38" s="36">
        <v>1</v>
      </c>
      <c r="D38" s="37">
        <v>1</v>
      </c>
      <c r="E38" s="37">
        <v>0</v>
      </c>
      <c r="F38" s="37"/>
      <c r="G38" s="37"/>
      <c r="H38" s="37"/>
      <c r="I38" s="22"/>
      <c r="J38" s="22"/>
      <c r="K38" s="37"/>
      <c r="L38" s="37"/>
      <c r="M38" s="37"/>
      <c r="N38" s="37"/>
      <c r="P38" s="3">
        <v>54</v>
      </c>
      <c r="Q38" s="18">
        <v>58</v>
      </c>
      <c r="R38" s="3">
        <v>48</v>
      </c>
      <c r="S38" s="3">
        <v>41</v>
      </c>
      <c r="T38" s="3">
        <v>25</v>
      </c>
      <c r="U38" s="3">
        <v>55</v>
      </c>
      <c r="V38" s="3">
        <v>45</v>
      </c>
      <c r="W38" s="3">
        <v>40</v>
      </c>
      <c r="X38" s="3">
        <v>50</v>
      </c>
      <c r="Y38" s="3">
        <v>29</v>
      </c>
      <c r="Z38" s="3">
        <v>63</v>
      </c>
      <c r="AA38" s="3">
        <v>77</v>
      </c>
      <c r="AD38" s="3">
        <v>59</v>
      </c>
      <c r="AE38" s="3">
        <v>55</v>
      </c>
      <c r="AF38" s="3">
        <v>59</v>
      </c>
      <c r="AG38" s="3">
        <v>50</v>
      </c>
      <c r="AH38" s="3">
        <v>36</v>
      </c>
      <c r="AI38" s="3">
        <v>41</v>
      </c>
      <c r="AJ38" s="3">
        <v>40</v>
      </c>
    </row>
    <row r="39" spans="1:36" ht="33" customHeight="1">
      <c r="A39" s="39"/>
      <c r="B39" s="42" t="s">
        <v>26</v>
      </c>
      <c r="C39" s="36">
        <v>13</v>
      </c>
      <c r="D39" s="37">
        <v>13</v>
      </c>
      <c r="E39" s="37">
        <v>11</v>
      </c>
      <c r="F39" s="37"/>
      <c r="G39" s="37"/>
      <c r="H39" s="37"/>
      <c r="I39" s="22"/>
      <c r="J39" s="22"/>
      <c r="K39" s="37"/>
      <c r="L39" s="37"/>
      <c r="M39" s="37"/>
      <c r="N39" s="37"/>
      <c r="P39" s="3">
        <f>136+12</f>
        <v>148</v>
      </c>
      <c r="Q39" s="18">
        <f>141+6</f>
        <v>147</v>
      </c>
      <c r="R39" s="3">
        <v>140</v>
      </c>
      <c r="S39" s="3">
        <f>161+5</f>
        <v>166</v>
      </c>
      <c r="T39" s="3">
        <f>172+8</f>
        <v>180</v>
      </c>
      <c r="U39" s="3">
        <f>177+11</f>
        <v>188</v>
      </c>
      <c r="V39" s="3">
        <f>214+5</f>
        <v>219</v>
      </c>
      <c r="W39" s="3">
        <f>203+3</f>
        <v>206</v>
      </c>
      <c r="X39" s="3">
        <f>226+8</f>
        <v>234</v>
      </c>
      <c r="Y39" s="3">
        <f>212+7</f>
        <v>219</v>
      </c>
      <c r="Z39" s="3">
        <f>218+12</f>
        <v>230</v>
      </c>
      <c r="AA39" s="3">
        <f>201+16</f>
        <v>217</v>
      </c>
      <c r="AD39" s="3">
        <f>279+4</f>
        <v>283</v>
      </c>
      <c r="AE39" s="3">
        <f>273+5</f>
        <v>278</v>
      </c>
      <c r="AF39" s="3">
        <f>304+12</f>
        <v>316</v>
      </c>
      <c r="AG39" s="3">
        <f>266+3</f>
        <v>269</v>
      </c>
      <c r="AH39" s="3">
        <f>318+4</f>
        <v>322</v>
      </c>
      <c r="AI39" s="3">
        <f>317+3</f>
        <v>320</v>
      </c>
      <c r="AJ39" s="3">
        <f>304+6</f>
        <v>310</v>
      </c>
    </row>
    <row r="40" spans="1:36" ht="33" customHeight="1">
      <c r="A40" s="39"/>
      <c r="B40" s="20" t="s">
        <v>29</v>
      </c>
      <c r="C40" s="36">
        <v>4</v>
      </c>
      <c r="D40" s="37">
        <v>4</v>
      </c>
      <c r="E40" s="37">
        <v>4</v>
      </c>
      <c r="F40" s="37"/>
      <c r="G40" s="37"/>
      <c r="H40" s="37"/>
      <c r="I40" s="22"/>
      <c r="J40" s="22"/>
      <c r="K40" s="37"/>
      <c r="L40" s="37"/>
      <c r="M40" s="37"/>
      <c r="N40" s="37"/>
      <c r="P40" s="3">
        <v>136</v>
      </c>
      <c r="Q40" s="18">
        <v>121</v>
      </c>
      <c r="R40" s="3">
        <v>145</v>
      </c>
      <c r="S40" s="3">
        <v>130</v>
      </c>
      <c r="T40" s="3">
        <v>132</v>
      </c>
      <c r="U40" s="3">
        <v>137</v>
      </c>
      <c r="V40" s="3">
        <v>136</v>
      </c>
      <c r="W40" s="3">
        <v>147</v>
      </c>
      <c r="X40" s="3">
        <v>153</v>
      </c>
      <c r="Y40" s="3">
        <v>153</v>
      </c>
      <c r="Z40" s="3">
        <v>135</v>
      </c>
      <c r="AA40" s="3">
        <v>123</v>
      </c>
      <c r="AD40" s="3">
        <v>144</v>
      </c>
      <c r="AE40" s="3">
        <v>133</v>
      </c>
      <c r="AF40" s="3">
        <v>129</v>
      </c>
      <c r="AG40" s="3">
        <v>135</v>
      </c>
      <c r="AH40" s="3">
        <v>123</v>
      </c>
      <c r="AI40" s="3">
        <v>124</v>
      </c>
      <c r="AJ40" s="3">
        <v>125</v>
      </c>
    </row>
    <row r="41" spans="1:36" ht="33" customHeight="1">
      <c r="A41" s="39"/>
      <c r="B41" s="40" t="s">
        <v>25</v>
      </c>
      <c r="C41" s="36">
        <v>8</v>
      </c>
      <c r="D41" s="37">
        <v>5</v>
      </c>
      <c r="E41" s="37">
        <v>1</v>
      </c>
      <c r="F41" s="37"/>
      <c r="G41" s="37"/>
      <c r="H41" s="37"/>
      <c r="I41" s="22"/>
      <c r="J41" s="22"/>
      <c r="K41" s="37"/>
      <c r="L41" s="37"/>
      <c r="M41" s="37"/>
      <c r="N41" s="37"/>
      <c r="P41" s="3">
        <v>250</v>
      </c>
      <c r="Q41" s="18">
        <v>203</v>
      </c>
      <c r="R41" s="3">
        <v>247</v>
      </c>
      <c r="S41" s="3">
        <f>242+1</f>
        <v>243</v>
      </c>
      <c r="T41" s="3">
        <v>246</v>
      </c>
      <c r="U41" s="3">
        <v>252</v>
      </c>
      <c r="V41" s="3">
        <v>231</v>
      </c>
      <c r="W41" s="3">
        <v>257</v>
      </c>
      <c r="X41" s="3">
        <v>245</v>
      </c>
      <c r="Y41" s="3">
        <v>248</v>
      </c>
      <c r="Z41" s="3">
        <v>265</v>
      </c>
      <c r="AA41" s="3">
        <v>250</v>
      </c>
      <c r="AD41" s="3">
        <f>294+2</f>
        <v>296</v>
      </c>
      <c r="AE41" s="3">
        <v>262</v>
      </c>
      <c r="AF41" s="3">
        <v>216</v>
      </c>
      <c r="AG41" s="3">
        <f>131+1</f>
        <v>132</v>
      </c>
      <c r="AH41" s="3">
        <v>139</v>
      </c>
      <c r="AI41" s="3">
        <v>129</v>
      </c>
      <c r="AJ41" s="3">
        <v>168</v>
      </c>
    </row>
    <row r="42" spans="1:36" ht="33" customHeight="1">
      <c r="A42" s="39"/>
      <c r="B42" s="40" t="s">
        <v>32</v>
      </c>
      <c r="C42" s="36">
        <v>33</v>
      </c>
      <c r="D42" s="37">
        <v>29</v>
      </c>
      <c r="E42" s="37">
        <v>29</v>
      </c>
      <c r="F42" s="37"/>
      <c r="G42" s="37"/>
      <c r="H42" s="37"/>
      <c r="I42" s="22"/>
      <c r="J42" s="22"/>
      <c r="K42" s="37"/>
      <c r="L42" s="37"/>
      <c r="M42" s="37"/>
      <c r="N42" s="37"/>
      <c r="Q42" s="18"/>
      <c r="S42" s="3">
        <v>48</v>
      </c>
      <c r="T42" s="3">
        <v>199</v>
      </c>
      <c r="U42" s="3">
        <v>274</v>
      </c>
      <c r="V42" s="3">
        <v>239</v>
      </c>
      <c r="W42" s="3">
        <v>305</v>
      </c>
      <c r="X42" s="3">
        <v>380</v>
      </c>
      <c r="Y42" s="3">
        <v>422</v>
      </c>
      <c r="Z42" s="3">
        <f>444+3</f>
        <v>447</v>
      </c>
      <c r="AA42" s="3">
        <f>491+2</f>
        <v>493</v>
      </c>
      <c r="AD42" s="3">
        <v>577</v>
      </c>
      <c r="AE42" s="3">
        <v>591</v>
      </c>
      <c r="AF42" s="3">
        <f>608+2</f>
        <v>610</v>
      </c>
      <c r="AG42" s="3">
        <f>588+2</f>
        <v>590</v>
      </c>
      <c r="AH42" s="3">
        <f>549+1</f>
        <v>550</v>
      </c>
      <c r="AI42" s="3">
        <f>619+1</f>
        <v>620</v>
      </c>
      <c r="AJ42" s="3">
        <f>642+2</f>
        <v>644</v>
      </c>
    </row>
    <row r="43" spans="1:36" ht="33" customHeight="1" thickBot="1">
      <c r="A43" s="39"/>
      <c r="B43" s="43" t="s">
        <v>33</v>
      </c>
      <c r="C43" s="36">
        <v>7</v>
      </c>
      <c r="D43" s="37">
        <v>7</v>
      </c>
      <c r="E43" s="37">
        <v>5</v>
      </c>
      <c r="F43" s="37"/>
      <c r="G43" s="37"/>
      <c r="H43" s="37"/>
      <c r="I43" s="22"/>
      <c r="J43" s="22"/>
      <c r="K43" s="37"/>
      <c r="L43" s="37"/>
      <c r="M43" s="37"/>
      <c r="N43" s="37"/>
      <c r="P43" s="3">
        <v>248</v>
      </c>
      <c r="Q43" s="18">
        <v>215</v>
      </c>
      <c r="R43" s="3">
        <v>216</v>
      </c>
      <c r="S43" s="3">
        <v>153</v>
      </c>
      <c r="T43" s="3">
        <f>140+1</f>
        <v>141</v>
      </c>
      <c r="U43" s="3">
        <v>183</v>
      </c>
      <c r="V43" s="3">
        <v>162</v>
      </c>
      <c r="W43" s="3">
        <v>171</v>
      </c>
      <c r="X43" s="3">
        <f>151+1</f>
        <v>152</v>
      </c>
      <c r="Y43" s="3">
        <v>134</v>
      </c>
      <c r="Z43" s="3">
        <v>139</v>
      </c>
      <c r="AA43" s="3">
        <f>138+1</f>
        <v>139</v>
      </c>
      <c r="AD43" s="3">
        <v>145</v>
      </c>
      <c r="AE43" s="3">
        <v>111</v>
      </c>
      <c r="AF43" s="3">
        <v>122</v>
      </c>
      <c r="AG43" s="18">
        <f>87+3</f>
        <v>90</v>
      </c>
      <c r="AH43" s="3">
        <v>133</v>
      </c>
      <c r="AI43" s="3">
        <v>140</v>
      </c>
      <c r="AJ43" s="3">
        <f>142+2</f>
        <v>144</v>
      </c>
    </row>
    <row r="44" spans="1:36" ht="33" customHeight="1" thickBot="1">
      <c r="A44" s="44"/>
      <c r="B44" s="28" t="s">
        <v>35</v>
      </c>
      <c r="C44" s="29">
        <f t="shared" ref="C44:N44" si="3">SUM(C24:C43)</f>
        <v>278</v>
      </c>
      <c r="D44" s="30">
        <f t="shared" si="3"/>
        <v>273</v>
      </c>
      <c r="E44" s="30">
        <f t="shared" si="3"/>
        <v>261</v>
      </c>
      <c r="F44" s="30">
        <f t="shared" si="3"/>
        <v>0</v>
      </c>
      <c r="G44" s="30">
        <f t="shared" si="3"/>
        <v>0</v>
      </c>
      <c r="H44" s="30">
        <f t="shared" si="3"/>
        <v>0</v>
      </c>
      <c r="I44" s="30">
        <f t="shared" si="3"/>
        <v>0</v>
      </c>
      <c r="J44" s="30">
        <f t="shared" si="3"/>
        <v>0</v>
      </c>
      <c r="K44" s="30">
        <f t="shared" si="3"/>
        <v>0</v>
      </c>
      <c r="L44" s="30">
        <f t="shared" si="3"/>
        <v>0</v>
      </c>
      <c r="M44" s="30">
        <f t="shared" si="3"/>
        <v>0</v>
      </c>
      <c r="N44" s="30">
        <f t="shared" si="3"/>
        <v>0</v>
      </c>
      <c r="P44" s="41">
        <f t="shared" ref="P44:X44" si="4">SUM(P24:P43)</f>
        <v>8310</v>
      </c>
      <c r="Q44" s="3">
        <f t="shared" si="4"/>
        <v>8440</v>
      </c>
      <c r="R44" s="3">
        <f t="shared" si="4"/>
        <v>8305</v>
      </c>
      <c r="S44" s="3">
        <f t="shared" si="4"/>
        <v>7893</v>
      </c>
      <c r="T44" s="18">
        <f t="shared" si="4"/>
        <v>8149</v>
      </c>
      <c r="U44" s="18">
        <f t="shared" si="4"/>
        <v>8226</v>
      </c>
      <c r="V44" s="18">
        <f t="shared" si="4"/>
        <v>8029</v>
      </c>
      <c r="W44" s="18">
        <f t="shared" si="4"/>
        <v>8258</v>
      </c>
      <c r="X44" s="18">
        <f t="shared" si="4"/>
        <v>8559</v>
      </c>
      <c r="Y44" s="18">
        <f>8100+459</f>
        <v>8559</v>
      </c>
      <c r="Z44" s="18">
        <f>SUM(Z24:Z43)</f>
        <v>8255</v>
      </c>
      <c r="AA44" s="18">
        <f>SUM(AA24:AA43)</f>
        <v>7858</v>
      </c>
      <c r="AB44" s="18"/>
      <c r="AC44" s="3">
        <f>7409+450</f>
        <v>7859</v>
      </c>
      <c r="AD44" s="3">
        <f t="shared" ref="AD44:AI44" si="5">SUM(AD24:AD43)</f>
        <v>9049</v>
      </c>
      <c r="AE44" s="3">
        <f t="shared" si="5"/>
        <v>8569</v>
      </c>
      <c r="AF44" s="18">
        <f t="shared" si="5"/>
        <v>8619</v>
      </c>
      <c r="AG44" s="41">
        <f t="shared" si="5"/>
        <v>7749</v>
      </c>
      <c r="AH44" s="3">
        <f t="shared" si="5"/>
        <v>8104</v>
      </c>
      <c r="AI44" s="3">
        <f t="shared" si="5"/>
        <v>8027</v>
      </c>
      <c r="AJ44" s="3">
        <f>SUM(AJ24:AJ43)</f>
        <v>8142</v>
      </c>
    </row>
    <row r="45" spans="1:36" ht="33" customHeight="1">
      <c r="A45" s="34" t="s">
        <v>40</v>
      </c>
      <c r="B45" s="35" t="s">
        <v>24</v>
      </c>
      <c r="C45" s="36">
        <v>0</v>
      </c>
      <c r="D45" s="37">
        <v>0</v>
      </c>
      <c r="E45" s="37">
        <v>0</v>
      </c>
      <c r="F45" s="37"/>
      <c r="G45" s="37"/>
      <c r="H45" s="37"/>
      <c r="I45" s="22"/>
      <c r="J45" s="22"/>
      <c r="K45" s="37"/>
      <c r="L45" s="37"/>
      <c r="M45" s="37"/>
      <c r="N45" s="37"/>
      <c r="P45" s="3">
        <v>0</v>
      </c>
      <c r="Q45" s="18">
        <v>0</v>
      </c>
      <c r="R45" s="3">
        <v>0</v>
      </c>
      <c r="S45" s="3">
        <v>0</v>
      </c>
      <c r="T45" s="3">
        <v>1</v>
      </c>
      <c r="U45" s="3">
        <v>0</v>
      </c>
      <c r="V45" s="3">
        <v>0</v>
      </c>
      <c r="W45" s="3">
        <v>0</v>
      </c>
      <c r="X45" s="3">
        <v>0</v>
      </c>
      <c r="Y45" s="3">
        <v>2</v>
      </c>
      <c r="Z45" s="3">
        <v>0</v>
      </c>
      <c r="AA45" s="3">
        <v>0</v>
      </c>
      <c r="AC45" s="3">
        <f>+AC44/29</f>
        <v>271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2</v>
      </c>
      <c r="AJ45" s="3">
        <v>0</v>
      </c>
    </row>
    <row r="46" spans="1:36" ht="33" customHeight="1">
      <c r="A46" s="39"/>
      <c r="B46" s="35" t="s">
        <v>17</v>
      </c>
      <c r="C46" s="36">
        <v>0</v>
      </c>
      <c r="D46" s="37">
        <v>0</v>
      </c>
      <c r="E46" s="37">
        <v>0</v>
      </c>
      <c r="F46" s="37"/>
      <c r="G46" s="37"/>
      <c r="H46" s="37"/>
      <c r="I46" s="22"/>
      <c r="J46" s="22"/>
      <c r="K46" s="37"/>
      <c r="L46" s="37"/>
      <c r="M46" s="37"/>
      <c r="N46" s="37"/>
      <c r="P46" s="3">
        <v>0</v>
      </c>
      <c r="Q46" s="18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1</v>
      </c>
      <c r="AI46" s="3">
        <v>0</v>
      </c>
      <c r="AJ46" s="3">
        <v>0</v>
      </c>
    </row>
    <row r="47" spans="1:36" ht="33" customHeight="1">
      <c r="A47" s="39"/>
      <c r="B47" s="45" t="s">
        <v>20</v>
      </c>
      <c r="C47" s="36">
        <v>0</v>
      </c>
      <c r="D47" s="37">
        <v>0</v>
      </c>
      <c r="E47" s="37">
        <v>0</v>
      </c>
      <c r="F47" s="37"/>
      <c r="G47" s="37"/>
      <c r="H47" s="37"/>
      <c r="I47" s="22"/>
      <c r="J47" s="22"/>
      <c r="K47" s="37"/>
      <c r="L47" s="37"/>
      <c r="M47" s="37"/>
      <c r="N47" s="37"/>
      <c r="P47" s="3">
        <v>13</v>
      </c>
      <c r="Q47" s="18">
        <v>1</v>
      </c>
      <c r="R47" s="3">
        <v>1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1</v>
      </c>
      <c r="AA47" s="3">
        <v>1</v>
      </c>
      <c r="AD47" s="3">
        <v>0</v>
      </c>
      <c r="AE47" s="3">
        <v>0</v>
      </c>
      <c r="AF47" s="3">
        <v>0</v>
      </c>
      <c r="AG47" s="3">
        <v>2</v>
      </c>
      <c r="AH47" s="3">
        <v>0</v>
      </c>
      <c r="AI47" s="3">
        <v>1</v>
      </c>
      <c r="AJ47" s="3">
        <v>0</v>
      </c>
    </row>
    <row r="48" spans="1:36" ht="33" customHeight="1">
      <c r="A48" s="39"/>
      <c r="B48" s="20" t="s">
        <v>22</v>
      </c>
      <c r="C48" s="36">
        <v>28</v>
      </c>
      <c r="D48" s="37">
        <v>29</v>
      </c>
      <c r="E48" s="37">
        <v>28</v>
      </c>
      <c r="F48" s="37"/>
      <c r="G48" s="37"/>
      <c r="H48" s="37"/>
      <c r="I48" s="22"/>
      <c r="J48" s="22"/>
      <c r="K48" s="37"/>
      <c r="L48" s="37"/>
      <c r="M48" s="37"/>
      <c r="N48" s="37"/>
      <c r="P48" s="3">
        <f>747+30</f>
        <v>777</v>
      </c>
      <c r="Q48" s="18">
        <v>570</v>
      </c>
      <c r="R48" s="3">
        <f>558+33</f>
        <v>591</v>
      </c>
      <c r="S48" s="3">
        <f>725+22</f>
        <v>747</v>
      </c>
      <c r="T48" s="3">
        <f>844+20</f>
        <v>864</v>
      </c>
      <c r="U48" s="3">
        <f>948+28</f>
        <v>976</v>
      </c>
      <c r="V48" s="3">
        <f>827+16</f>
        <v>843</v>
      </c>
      <c r="W48" s="3">
        <f>770+44</f>
        <v>814</v>
      </c>
      <c r="X48" s="3">
        <f>698+21</f>
        <v>719</v>
      </c>
      <c r="Y48" s="3">
        <f>642+17</f>
        <v>659</v>
      </c>
      <c r="Z48" s="3">
        <f>640+13</f>
        <v>653</v>
      </c>
      <c r="AA48" s="3">
        <f>731+22</f>
        <v>753</v>
      </c>
      <c r="AD48" s="3">
        <f>785+28+1</f>
        <v>814</v>
      </c>
      <c r="AE48" s="3">
        <f>859+12+1</f>
        <v>872</v>
      </c>
      <c r="AF48" s="3">
        <f>890+19+3</f>
        <v>912</v>
      </c>
      <c r="AG48" s="3">
        <f>852+9</f>
        <v>861</v>
      </c>
      <c r="AH48" s="3">
        <f>806+20</f>
        <v>826</v>
      </c>
      <c r="AI48" s="3">
        <f>872+25</f>
        <v>897</v>
      </c>
      <c r="AJ48" s="3">
        <f>744+12</f>
        <v>756</v>
      </c>
    </row>
    <row r="49" spans="1:36" ht="33" customHeight="1">
      <c r="A49" s="39"/>
      <c r="B49" s="20" t="s">
        <v>37</v>
      </c>
      <c r="C49" s="36">
        <v>0</v>
      </c>
      <c r="D49" s="37">
        <v>0</v>
      </c>
      <c r="E49" s="37">
        <v>0</v>
      </c>
      <c r="F49" s="37"/>
      <c r="G49" s="37"/>
      <c r="H49" s="37"/>
      <c r="I49" s="22"/>
      <c r="J49" s="22"/>
      <c r="K49" s="37"/>
      <c r="L49" s="37"/>
      <c r="M49" s="37"/>
      <c r="N49" s="37"/>
      <c r="P49" s="3">
        <v>0</v>
      </c>
      <c r="Q49" s="18">
        <v>0</v>
      </c>
      <c r="R49" s="3">
        <v>1</v>
      </c>
      <c r="S49" s="3">
        <v>3</v>
      </c>
      <c r="T49" s="3">
        <v>0</v>
      </c>
      <c r="U49" s="3">
        <v>0</v>
      </c>
      <c r="V49" s="3">
        <f>1+2</f>
        <v>3</v>
      </c>
      <c r="W49" s="3">
        <v>2</v>
      </c>
      <c r="X49" s="3">
        <v>0</v>
      </c>
      <c r="Y49" s="3">
        <f>2+3+1</f>
        <v>6</v>
      </c>
      <c r="Z49" s="3">
        <v>0</v>
      </c>
      <c r="AA49" s="3">
        <v>1</v>
      </c>
      <c r="AD49" s="3">
        <v>0</v>
      </c>
      <c r="AE49" s="3">
        <f>2+1+1</f>
        <v>4</v>
      </c>
      <c r="AF49" s="3">
        <f>2+2</f>
        <v>4</v>
      </c>
      <c r="AG49" s="3">
        <v>0</v>
      </c>
      <c r="AH49" s="3">
        <f>1+1</f>
        <v>2</v>
      </c>
      <c r="AI49" s="3">
        <v>1</v>
      </c>
      <c r="AJ49" s="3">
        <v>1</v>
      </c>
    </row>
    <row r="50" spans="1:36" ht="33" customHeight="1">
      <c r="A50" s="39"/>
      <c r="B50" s="20" t="s">
        <v>30</v>
      </c>
      <c r="C50" s="36">
        <v>0</v>
      </c>
      <c r="D50" s="37">
        <v>0</v>
      </c>
      <c r="E50" s="37">
        <v>0</v>
      </c>
      <c r="F50" s="37"/>
      <c r="G50" s="37"/>
      <c r="H50" s="37"/>
      <c r="I50" s="22"/>
      <c r="J50" s="22"/>
      <c r="K50" s="37"/>
      <c r="L50" s="37"/>
      <c r="M50" s="37"/>
      <c r="N50" s="37"/>
      <c r="P50" s="3">
        <v>71</v>
      </c>
      <c r="Q50" s="18">
        <v>77</v>
      </c>
      <c r="R50" s="3">
        <v>91</v>
      </c>
      <c r="S50" s="3">
        <v>87</v>
      </c>
      <c r="T50" s="3">
        <v>60</v>
      </c>
      <c r="U50" s="3">
        <v>79</v>
      </c>
      <c r="V50" s="3">
        <v>77</v>
      </c>
      <c r="W50" s="3">
        <v>60</v>
      </c>
      <c r="X50" s="3">
        <v>65</v>
      </c>
      <c r="Y50" s="3">
        <v>73</v>
      </c>
      <c r="Z50" s="3">
        <v>90</v>
      </c>
      <c r="AA50" s="3">
        <v>95</v>
      </c>
      <c r="AD50" s="3">
        <v>122</v>
      </c>
      <c r="AE50" s="3">
        <v>122</v>
      </c>
      <c r="AF50" s="3">
        <v>105</v>
      </c>
      <c r="AG50" s="3">
        <v>111</v>
      </c>
      <c r="AH50" s="3">
        <v>118</v>
      </c>
      <c r="AI50" s="3">
        <v>138</v>
      </c>
      <c r="AJ50" s="3">
        <v>143</v>
      </c>
    </row>
    <row r="51" spans="1:36" ht="33" customHeight="1">
      <c r="A51" s="39"/>
      <c r="B51" s="20" t="s">
        <v>26</v>
      </c>
      <c r="C51" s="36">
        <v>0</v>
      </c>
      <c r="D51" s="37">
        <v>0</v>
      </c>
      <c r="E51" s="37">
        <v>0</v>
      </c>
      <c r="F51" s="37"/>
      <c r="G51" s="37"/>
      <c r="H51" s="37"/>
      <c r="I51" s="22"/>
      <c r="J51" s="22"/>
      <c r="K51" s="37"/>
      <c r="L51" s="37"/>
      <c r="M51" s="37"/>
      <c r="N51" s="37"/>
      <c r="Q51" s="18"/>
      <c r="AE51" s="3">
        <v>1</v>
      </c>
      <c r="AF51" s="3">
        <v>1</v>
      </c>
      <c r="AG51" s="3">
        <v>2</v>
      </c>
      <c r="AH51" s="3">
        <v>0</v>
      </c>
      <c r="AI51" s="3">
        <v>2</v>
      </c>
      <c r="AJ51" s="3">
        <v>0</v>
      </c>
    </row>
    <row r="52" spans="1:36" ht="33" customHeight="1">
      <c r="A52" s="39"/>
      <c r="B52" s="20" t="s">
        <v>34</v>
      </c>
      <c r="C52" s="36">
        <v>79</v>
      </c>
      <c r="D52" s="37">
        <v>81</v>
      </c>
      <c r="E52" s="37">
        <v>76</v>
      </c>
      <c r="F52" s="37"/>
      <c r="G52" s="37"/>
      <c r="H52" s="37"/>
      <c r="I52" s="22"/>
      <c r="J52" s="22"/>
      <c r="K52" s="37"/>
      <c r="L52" s="37"/>
      <c r="M52" s="37"/>
      <c r="N52" s="37"/>
      <c r="P52" s="3">
        <f>3076+28</f>
        <v>3104</v>
      </c>
      <c r="Q52" s="18">
        <v>3088</v>
      </c>
      <c r="R52" s="3">
        <f>2936+25</f>
        <v>2961</v>
      </c>
      <c r="S52" s="3">
        <f>2787+22</f>
        <v>2809</v>
      </c>
      <c r="T52" s="3">
        <f>2773+26</f>
        <v>2799</v>
      </c>
      <c r="U52" s="3">
        <f>2767+31</f>
        <v>2798</v>
      </c>
      <c r="V52" s="3">
        <f>2772+29</f>
        <v>2801</v>
      </c>
      <c r="W52" s="3">
        <f>2821+30</f>
        <v>2851</v>
      </c>
      <c r="X52" s="3">
        <f>2990+30</f>
        <v>3020</v>
      </c>
      <c r="Y52" s="3">
        <f>3057+30</f>
        <v>3087</v>
      </c>
      <c r="Z52" s="3">
        <f>3007+26</f>
        <v>3033</v>
      </c>
      <c r="AA52" s="3">
        <f>2854+26</f>
        <v>2880</v>
      </c>
      <c r="AD52" s="3">
        <f>3066+44</f>
        <v>3110</v>
      </c>
      <c r="AE52" s="3">
        <f>2726+56</f>
        <v>2782</v>
      </c>
      <c r="AF52" s="3">
        <f>2605+49</f>
        <v>2654</v>
      </c>
      <c r="AG52" s="3">
        <f>2480+31</f>
        <v>2511</v>
      </c>
      <c r="AH52" s="3">
        <f>2563+31</f>
        <v>2594</v>
      </c>
      <c r="AI52" s="3">
        <f>2856+33</f>
        <v>2889</v>
      </c>
      <c r="AJ52" s="3">
        <f>2649+30</f>
        <v>2679</v>
      </c>
    </row>
    <row r="53" spans="1:36" ht="33" customHeight="1">
      <c r="A53" s="39"/>
      <c r="B53" s="20" t="s">
        <v>32</v>
      </c>
      <c r="C53" s="36">
        <v>0</v>
      </c>
      <c r="D53" s="37">
        <v>0</v>
      </c>
      <c r="E53" s="37">
        <v>0</v>
      </c>
      <c r="F53" s="37"/>
      <c r="G53" s="37"/>
      <c r="H53" s="37"/>
      <c r="I53" s="22"/>
      <c r="J53" s="22"/>
      <c r="K53" s="37"/>
      <c r="L53" s="37"/>
      <c r="M53" s="37"/>
      <c r="N53" s="37"/>
      <c r="Q53" s="18"/>
      <c r="Z53" s="3">
        <v>2</v>
      </c>
      <c r="AA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</row>
    <row r="54" spans="1:36" ht="33" customHeight="1">
      <c r="A54" s="39"/>
      <c r="B54" s="20" t="s">
        <v>21</v>
      </c>
      <c r="C54" s="36">
        <v>0</v>
      </c>
      <c r="D54" s="37">
        <v>0</v>
      </c>
      <c r="E54" s="37">
        <v>0</v>
      </c>
      <c r="F54" s="37"/>
      <c r="G54" s="37"/>
      <c r="H54" s="37"/>
      <c r="I54" s="22"/>
      <c r="J54" s="22"/>
      <c r="K54" s="37"/>
      <c r="L54" s="37"/>
      <c r="M54" s="37"/>
      <c r="N54" s="37"/>
      <c r="P54" s="3">
        <v>1</v>
      </c>
      <c r="Q54" s="18">
        <v>2</v>
      </c>
      <c r="R54" s="3">
        <v>1</v>
      </c>
      <c r="S54" s="3">
        <v>1</v>
      </c>
      <c r="T54" s="3">
        <v>1</v>
      </c>
      <c r="U54" s="3">
        <v>0</v>
      </c>
      <c r="V54" s="3">
        <v>0</v>
      </c>
      <c r="W54" s="3">
        <v>1</v>
      </c>
      <c r="X54" s="3">
        <v>0</v>
      </c>
      <c r="Y54" s="3">
        <v>0</v>
      </c>
      <c r="Z54" s="3">
        <v>1</v>
      </c>
      <c r="AA54" s="3">
        <v>0</v>
      </c>
      <c r="AC54" s="18"/>
      <c r="AD54" s="3">
        <v>3</v>
      </c>
      <c r="AE54" s="3">
        <v>0</v>
      </c>
      <c r="AF54" s="3">
        <v>1</v>
      </c>
      <c r="AG54" s="3">
        <v>0</v>
      </c>
      <c r="AH54" s="3">
        <v>0</v>
      </c>
      <c r="AI54" s="3">
        <v>1</v>
      </c>
      <c r="AJ54" s="3">
        <v>0</v>
      </c>
    </row>
    <row r="55" spans="1:36" ht="33" customHeight="1">
      <c r="A55" s="39"/>
      <c r="B55" s="20" t="s">
        <v>19</v>
      </c>
      <c r="C55" s="36">
        <v>0</v>
      </c>
      <c r="D55" s="37">
        <v>0</v>
      </c>
      <c r="E55" s="37">
        <v>0</v>
      </c>
      <c r="F55" s="37"/>
      <c r="G55" s="37"/>
      <c r="H55" s="37"/>
      <c r="I55" s="22"/>
      <c r="J55" s="22"/>
      <c r="K55" s="37"/>
      <c r="L55" s="37"/>
      <c r="M55" s="37"/>
      <c r="N55" s="37"/>
      <c r="P55" s="3">
        <v>0</v>
      </c>
      <c r="Q55" s="18">
        <v>1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D55" s="3">
        <v>1</v>
      </c>
      <c r="AE55" s="3">
        <v>0</v>
      </c>
      <c r="AF55" s="3">
        <v>1</v>
      </c>
      <c r="AG55" s="3">
        <v>0</v>
      </c>
      <c r="AH55" s="3">
        <v>0</v>
      </c>
      <c r="AI55" s="3">
        <v>1</v>
      </c>
      <c r="AJ55" s="3">
        <v>0</v>
      </c>
    </row>
    <row r="56" spans="1:36" ht="33" customHeight="1" thickBot="1">
      <c r="A56" s="39"/>
      <c r="B56" s="20" t="s">
        <v>28</v>
      </c>
      <c r="C56" s="36">
        <v>0</v>
      </c>
      <c r="D56" s="37">
        <v>0</v>
      </c>
      <c r="E56" s="37">
        <v>0</v>
      </c>
      <c r="F56" s="37"/>
      <c r="G56" s="37"/>
      <c r="H56" s="37"/>
      <c r="I56" s="22"/>
      <c r="J56" s="22"/>
      <c r="K56" s="37"/>
      <c r="L56" s="37"/>
      <c r="M56" s="37"/>
      <c r="N56" s="37"/>
      <c r="P56" s="3">
        <v>0</v>
      </c>
      <c r="Q56" s="18">
        <v>0</v>
      </c>
      <c r="R56" s="3">
        <v>1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1</v>
      </c>
      <c r="Y56" s="3">
        <v>0</v>
      </c>
      <c r="Z56" s="3">
        <v>0</v>
      </c>
      <c r="AA56" s="3">
        <v>0</v>
      </c>
      <c r="AD56" s="3">
        <v>0</v>
      </c>
      <c r="AE56" s="3">
        <v>0</v>
      </c>
      <c r="AF56" s="3">
        <v>0</v>
      </c>
      <c r="AG56" s="3">
        <v>1</v>
      </c>
      <c r="AH56" s="3">
        <v>1</v>
      </c>
      <c r="AI56" s="3">
        <v>1</v>
      </c>
      <c r="AJ56" s="3">
        <v>0</v>
      </c>
    </row>
    <row r="57" spans="1:36" ht="33" customHeight="1" thickBot="1">
      <c r="A57" s="44"/>
      <c r="B57" s="46" t="s">
        <v>35</v>
      </c>
      <c r="C57" s="29">
        <f t="shared" ref="C57:N57" si="6">SUM(C45:C56)</f>
        <v>107</v>
      </c>
      <c r="D57" s="30">
        <f t="shared" si="6"/>
        <v>110</v>
      </c>
      <c r="E57" s="30">
        <f t="shared" si="6"/>
        <v>104</v>
      </c>
      <c r="F57" s="30">
        <f t="shared" si="6"/>
        <v>0</v>
      </c>
      <c r="G57" s="30">
        <f t="shared" si="6"/>
        <v>0</v>
      </c>
      <c r="H57" s="30">
        <f t="shared" si="6"/>
        <v>0</v>
      </c>
      <c r="I57" s="30">
        <f t="shared" si="6"/>
        <v>0</v>
      </c>
      <c r="J57" s="30">
        <f t="shared" si="6"/>
        <v>0</v>
      </c>
      <c r="K57" s="30">
        <f t="shared" si="6"/>
        <v>0</v>
      </c>
      <c r="L57" s="30">
        <f t="shared" si="6"/>
        <v>0</v>
      </c>
      <c r="M57" s="30">
        <f t="shared" si="6"/>
        <v>0</v>
      </c>
      <c r="N57" s="30">
        <f t="shared" si="6"/>
        <v>0</v>
      </c>
      <c r="P57" s="3">
        <f t="shared" ref="P57:V57" si="7">SUM(P45:P56)</f>
        <v>3966</v>
      </c>
      <c r="Q57" s="3">
        <f t="shared" si="7"/>
        <v>3739</v>
      </c>
      <c r="R57" s="3">
        <f t="shared" si="7"/>
        <v>3647</v>
      </c>
      <c r="S57" s="3">
        <f t="shared" si="7"/>
        <v>3647</v>
      </c>
      <c r="T57" s="18">
        <f t="shared" si="7"/>
        <v>3725</v>
      </c>
      <c r="U57" s="18">
        <f t="shared" si="7"/>
        <v>3853</v>
      </c>
      <c r="V57" s="18">
        <f t="shared" si="7"/>
        <v>3724</v>
      </c>
      <c r="W57" s="18">
        <f>SUM(W45:W56)</f>
        <v>3728</v>
      </c>
      <c r="X57" s="18">
        <f>SUM(X45:X56)</f>
        <v>3805</v>
      </c>
      <c r="Y57" s="18">
        <f>SUM(Y45:Y56)</f>
        <v>3827</v>
      </c>
      <c r="Z57" s="47">
        <f>SUM(Z45:Z56)</f>
        <v>3780</v>
      </c>
      <c r="AA57" s="18">
        <f>SUM(AA45:AA56)</f>
        <v>3730</v>
      </c>
      <c r="AB57" s="18"/>
      <c r="AC57" s="3">
        <v>3730.29</v>
      </c>
      <c r="AD57" s="3">
        <f t="shared" ref="AD57:AI57" si="8">SUM(AD45:AD56)</f>
        <v>4050</v>
      </c>
      <c r="AE57" s="3">
        <f t="shared" si="8"/>
        <v>3781</v>
      </c>
      <c r="AF57" s="3">
        <f t="shared" si="8"/>
        <v>3678</v>
      </c>
      <c r="AG57" s="3">
        <f t="shared" si="8"/>
        <v>3488</v>
      </c>
      <c r="AH57" s="3">
        <f t="shared" si="8"/>
        <v>3542</v>
      </c>
      <c r="AI57" s="18">
        <f t="shared" si="8"/>
        <v>3933</v>
      </c>
      <c r="AJ57" s="3">
        <f>SUM(AJ45:AJ56)</f>
        <v>3579</v>
      </c>
    </row>
    <row r="58" spans="1:36" ht="36.75" customHeight="1">
      <c r="A58" s="48" t="s">
        <v>41</v>
      </c>
      <c r="B58" s="49"/>
      <c r="C58" s="49"/>
      <c r="D58" s="49"/>
      <c r="E58" s="49"/>
      <c r="F58" s="49"/>
      <c r="G58" s="49"/>
      <c r="H58" s="50"/>
      <c r="I58" s="50"/>
      <c r="J58" s="50"/>
      <c r="K58" s="50"/>
      <c r="L58" s="50"/>
      <c r="M58" s="50"/>
      <c r="N58" s="50"/>
      <c r="AC58" s="3">
        <f>+AA57/29</f>
        <v>128.62068965517241</v>
      </c>
      <c r="AG58" s="3">
        <f>+AG57/31</f>
        <v>112.51612903225806</v>
      </c>
    </row>
    <row r="59" spans="1:36">
      <c r="C59" s="18"/>
      <c r="D59" s="18"/>
      <c r="E59" s="18"/>
    </row>
    <row r="62" spans="1:36" ht="19.5" customHeight="1"/>
    <row r="63" spans="1:36" ht="31.9" customHeight="1" thickBot="1">
      <c r="A63" s="51" t="s">
        <v>42</v>
      </c>
      <c r="B63" s="51"/>
      <c r="C63" s="51"/>
      <c r="D63" s="51"/>
      <c r="E63" s="51"/>
      <c r="F63" s="51"/>
      <c r="G63" s="52"/>
      <c r="H63" s="52"/>
      <c r="I63" s="52"/>
      <c r="J63" s="52"/>
      <c r="K63" s="52"/>
      <c r="L63" s="52"/>
      <c r="M63" s="52"/>
      <c r="N63" s="52"/>
    </row>
    <row r="64" spans="1:36" ht="36.75" customHeight="1" thickBot="1">
      <c r="A64" s="53" t="s">
        <v>1</v>
      </c>
      <c r="B64" s="54"/>
      <c r="C64" s="55" t="s">
        <v>43</v>
      </c>
      <c r="D64" s="56"/>
      <c r="E64" s="56"/>
      <c r="F64" s="57"/>
    </row>
    <row r="65" spans="1:6" ht="33.75" customHeight="1" thickBot="1">
      <c r="A65" s="58"/>
      <c r="B65" s="59"/>
      <c r="C65" s="60" t="s">
        <v>44</v>
      </c>
      <c r="D65" s="61" t="s">
        <v>45</v>
      </c>
      <c r="E65" s="61" t="s">
        <v>46</v>
      </c>
      <c r="F65" s="62" t="s">
        <v>47</v>
      </c>
    </row>
    <row r="66" spans="1:6" ht="21" customHeight="1">
      <c r="A66" s="63" t="s">
        <v>15</v>
      </c>
      <c r="B66" s="64" t="s">
        <v>16</v>
      </c>
      <c r="C66" s="65">
        <f>(C4+D4+E4)/3</f>
        <v>8</v>
      </c>
      <c r="D66" s="66">
        <f>(F4+G4+H4)/3</f>
        <v>0</v>
      </c>
      <c r="E66" s="67">
        <f>(I4+J4+K4)/3</f>
        <v>0</v>
      </c>
      <c r="F66" s="68">
        <f>(L4+M4+N4)/3</f>
        <v>0</v>
      </c>
    </row>
    <row r="67" spans="1:6" ht="21" customHeight="1">
      <c r="A67" s="69"/>
      <c r="B67" s="70" t="s">
        <v>17</v>
      </c>
      <c r="C67" s="71">
        <f>(C5+D5+E5)/3</f>
        <v>0.66666666666666663</v>
      </c>
      <c r="D67" s="66">
        <f>(F5+G5+H5)/3</f>
        <v>0</v>
      </c>
      <c r="E67" s="67">
        <f>(I5+J5+K5)/3</f>
        <v>0</v>
      </c>
      <c r="F67" s="68">
        <f>(L5+M5+N5)/3</f>
        <v>0</v>
      </c>
    </row>
    <row r="68" spans="1:6" ht="21" customHeight="1">
      <c r="A68" s="69"/>
      <c r="B68" s="70" t="s">
        <v>18</v>
      </c>
      <c r="C68" s="71">
        <f>(C6+D6+E6)/3</f>
        <v>2</v>
      </c>
      <c r="D68" s="66">
        <f>(F6+G6+H6)/3</f>
        <v>0</v>
      </c>
      <c r="E68" s="67">
        <f>(I6+J6+K6)/3</f>
        <v>0</v>
      </c>
      <c r="F68" s="68">
        <f>(L6+M6+N6)/3</f>
        <v>0</v>
      </c>
    </row>
    <row r="69" spans="1:6" ht="21" customHeight="1">
      <c r="A69" s="69"/>
      <c r="B69" s="70" t="s">
        <v>19</v>
      </c>
      <c r="C69" s="71">
        <f>(C7+D7+E7)/3</f>
        <v>17</v>
      </c>
      <c r="D69" s="66">
        <f>(F7+G7+H7)/3</f>
        <v>0</v>
      </c>
      <c r="E69" s="67">
        <f>(I7+J7+K7)/3</f>
        <v>0</v>
      </c>
      <c r="F69" s="68">
        <f>(L7+M7+N7)/3</f>
        <v>0</v>
      </c>
    </row>
    <row r="70" spans="1:6" ht="21" customHeight="1">
      <c r="A70" s="69"/>
      <c r="B70" s="72" t="s">
        <v>20</v>
      </c>
      <c r="C70" s="71">
        <f>(C8+D8+E8)/3</f>
        <v>18.333333333333332</v>
      </c>
      <c r="D70" s="66">
        <f>(F8+G8+H8)/3</f>
        <v>0</v>
      </c>
      <c r="E70" s="67">
        <f>(I8+J8+K8)/3</f>
        <v>0</v>
      </c>
      <c r="F70" s="68">
        <f>(L8+M8+N8)/3</f>
        <v>0</v>
      </c>
    </row>
    <row r="71" spans="1:6" ht="21" customHeight="1">
      <c r="A71" s="69"/>
      <c r="B71" s="70" t="s">
        <v>30</v>
      </c>
      <c r="C71" s="71" t="e">
        <f>(#REF!+#REF!+#REF!)/3</f>
        <v>#REF!</v>
      </c>
      <c r="D71" s="66" t="e">
        <f>(#REF!+#REF!+#REF!)/3</f>
        <v>#REF!</v>
      </c>
      <c r="E71" s="67" t="e">
        <f>(#REF!+#REF!+#REF!)/3</f>
        <v>#REF!</v>
      </c>
      <c r="F71" s="68" t="e">
        <f>(#REF!+#REF!+#REF!)/3</f>
        <v>#REF!</v>
      </c>
    </row>
    <row r="72" spans="1:6" ht="21" customHeight="1">
      <c r="A72" s="69"/>
      <c r="B72" s="70" t="s">
        <v>21</v>
      </c>
      <c r="C72" s="71">
        <f>(C9+D9+E9)/3</f>
        <v>9</v>
      </c>
      <c r="D72" s="66">
        <f>(F9+G9+H9)/3</f>
        <v>0</v>
      </c>
      <c r="E72" s="67">
        <f>(I9+J9+K9)/3</f>
        <v>0</v>
      </c>
      <c r="F72" s="68">
        <f>(L9+M9+N9)/3</f>
        <v>0</v>
      </c>
    </row>
    <row r="73" spans="1:6" ht="21" customHeight="1">
      <c r="A73" s="69"/>
      <c r="B73" s="70" t="s">
        <v>22</v>
      </c>
      <c r="C73" s="71">
        <f>(C10+D10+E10)/3</f>
        <v>5.666666666666667</v>
      </c>
      <c r="D73" s="66">
        <f>(F10+G10+H10)/3</f>
        <v>0</v>
      </c>
      <c r="E73" s="67">
        <f>(I10+J10+K10)/3</f>
        <v>0</v>
      </c>
      <c r="F73" s="68">
        <f>(L10+M10+N10)/3</f>
        <v>0</v>
      </c>
    </row>
    <row r="74" spans="1:6" ht="21" customHeight="1">
      <c r="A74" s="69"/>
      <c r="B74" s="72" t="s">
        <v>28</v>
      </c>
      <c r="C74" s="71" t="e">
        <f>(#REF!+#REF!+#REF!)/3</f>
        <v>#REF!</v>
      </c>
      <c r="D74" s="66" t="e">
        <f>(#REF!+#REF!+#REF!)/3</f>
        <v>#REF!</v>
      </c>
      <c r="E74" s="67" t="e">
        <f>(#REF!+#REF!+#REF!)/3</f>
        <v>#REF!</v>
      </c>
      <c r="F74" s="68" t="e">
        <f>(#REF!+#REF!+#REF!)/3</f>
        <v>#REF!</v>
      </c>
    </row>
    <row r="75" spans="1:6" ht="21" customHeight="1" thickBot="1">
      <c r="A75" s="69"/>
      <c r="B75" s="73" t="s">
        <v>24</v>
      </c>
      <c r="C75" s="71">
        <f>(C12+D12+E12)/3</f>
        <v>65.333333333333329</v>
      </c>
      <c r="D75" s="66">
        <f>(F12+G12+H12)/3</f>
        <v>0</v>
      </c>
      <c r="E75" s="67">
        <f>(I12+J12+K12)/3</f>
        <v>0</v>
      </c>
      <c r="F75" s="68">
        <f>(L12+M12+N12)/3</f>
        <v>0</v>
      </c>
    </row>
    <row r="76" spans="1:6" ht="21" customHeight="1" thickBot="1">
      <c r="A76" s="74"/>
      <c r="B76" s="75" t="s">
        <v>35</v>
      </c>
      <c r="C76" s="76" t="e">
        <f>SUM(C66:C75)</f>
        <v>#REF!</v>
      </c>
      <c r="D76" s="77" t="e">
        <f>SUM(D66:D75)</f>
        <v>#REF!</v>
      </c>
      <c r="E76" s="78" t="e">
        <f>SUM(E66:E75)</f>
        <v>#REF!</v>
      </c>
      <c r="F76" s="79" t="e">
        <f>SUM(F66:F75)</f>
        <v>#REF!</v>
      </c>
    </row>
    <row r="77" spans="1:6" ht="21" customHeight="1">
      <c r="A77" s="80" t="s">
        <v>36</v>
      </c>
      <c r="B77" s="81" t="s">
        <v>24</v>
      </c>
      <c r="C77" s="82">
        <f>(C24+D24+E24)/3</f>
        <v>3</v>
      </c>
      <c r="D77" s="83">
        <f>(F24+G24+H24)/3</f>
        <v>0</v>
      </c>
      <c r="E77" s="84">
        <f>(I24+J24+K24)/3</f>
        <v>0</v>
      </c>
      <c r="F77" s="85">
        <f>(L24+M24+N24)/3</f>
        <v>0</v>
      </c>
    </row>
    <row r="78" spans="1:6" ht="21" customHeight="1">
      <c r="A78" s="80"/>
      <c r="B78" s="70" t="s">
        <v>17</v>
      </c>
      <c r="C78" s="82" t="e">
        <f>(#REF!+#REF!+#REF!)/3</f>
        <v>#REF!</v>
      </c>
      <c r="D78" s="83" t="e">
        <f>(#REF!+#REF!+#REF!)/3</f>
        <v>#REF!</v>
      </c>
      <c r="E78" s="84" t="e">
        <f>(#REF!+#REF!+#REF!)/3</f>
        <v>#REF!</v>
      </c>
      <c r="F78" s="85" t="e">
        <f>(#REF!+#REF!+#REF!)/3</f>
        <v>#REF!</v>
      </c>
    </row>
    <row r="79" spans="1:6" ht="21" customHeight="1">
      <c r="A79" s="80"/>
      <c r="B79" s="70" t="s">
        <v>20</v>
      </c>
      <c r="C79" s="82">
        <f>(C25+D25+E25)/3</f>
        <v>3</v>
      </c>
      <c r="D79" s="83">
        <f>(F25+G25+H25)/3</f>
        <v>0</v>
      </c>
      <c r="E79" s="84">
        <f>(I25+J25+K25)/3</f>
        <v>0</v>
      </c>
      <c r="F79" s="85">
        <f>(L25+M25+N25)/3</f>
        <v>0</v>
      </c>
    </row>
    <row r="80" spans="1:6" ht="21" customHeight="1">
      <c r="A80" s="80"/>
      <c r="B80" s="70" t="s">
        <v>22</v>
      </c>
      <c r="C80" s="82">
        <f t="shared" ref="C80:C86" si="9">(C29+D29+E29)/3</f>
        <v>86</v>
      </c>
      <c r="D80" s="83">
        <f t="shared" ref="D80:D86" si="10">(F29+G29+H29)/3</f>
        <v>0</v>
      </c>
      <c r="E80" s="84">
        <f t="shared" ref="E80:E86" si="11">(I29+J29+K29)/3</f>
        <v>0</v>
      </c>
      <c r="F80" s="85">
        <f t="shared" ref="F80:F86" si="12">(L29+M29+N29)/3</f>
        <v>0</v>
      </c>
    </row>
    <row r="81" spans="1:6" ht="21" customHeight="1">
      <c r="A81" s="80"/>
      <c r="B81" s="70" t="s">
        <v>37</v>
      </c>
      <c r="C81" s="82">
        <f t="shared" si="9"/>
        <v>68</v>
      </c>
      <c r="D81" s="83">
        <f t="shared" si="10"/>
        <v>0</v>
      </c>
      <c r="E81" s="84">
        <f t="shared" si="11"/>
        <v>0</v>
      </c>
      <c r="F81" s="85">
        <f t="shared" si="12"/>
        <v>0</v>
      </c>
    </row>
    <row r="82" spans="1:6" ht="21" customHeight="1">
      <c r="A82" s="80"/>
      <c r="B82" s="70" t="s">
        <v>30</v>
      </c>
      <c r="C82" s="82">
        <f t="shared" si="9"/>
        <v>1.6666666666666667</v>
      </c>
      <c r="D82" s="83">
        <f t="shared" si="10"/>
        <v>0</v>
      </c>
      <c r="E82" s="84">
        <f t="shared" si="11"/>
        <v>0</v>
      </c>
      <c r="F82" s="85">
        <f t="shared" si="12"/>
        <v>0</v>
      </c>
    </row>
    <row r="83" spans="1:6" ht="21" customHeight="1">
      <c r="A83" s="80"/>
      <c r="B83" s="70" t="s">
        <v>21</v>
      </c>
      <c r="C83" s="82">
        <f t="shared" si="9"/>
        <v>20.666666666666668</v>
      </c>
      <c r="D83" s="83">
        <f t="shared" si="10"/>
        <v>0</v>
      </c>
      <c r="E83" s="84">
        <f t="shared" si="11"/>
        <v>0</v>
      </c>
      <c r="F83" s="85">
        <f t="shared" si="12"/>
        <v>0</v>
      </c>
    </row>
    <row r="84" spans="1:6" ht="21" customHeight="1">
      <c r="A84" s="80"/>
      <c r="B84" s="72" t="s">
        <v>28</v>
      </c>
      <c r="C84" s="82">
        <f t="shared" si="9"/>
        <v>13.666666666666666</v>
      </c>
      <c r="D84" s="83">
        <f t="shared" si="10"/>
        <v>0</v>
      </c>
      <c r="E84" s="84">
        <f t="shared" si="11"/>
        <v>0</v>
      </c>
      <c r="F84" s="85">
        <f t="shared" si="12"/>
        <v>0</v>
      </c>
    </row>
    <row r="85" spans="1:6" ht="21" customHeight="1">
      <c r="A85" s="80"/>
      <c r="B85" s="72" t="s">
        <v>34</v>
      </c>
      <c r="C85" s="82">
        <f t="shared" si="9"/>
        <v>0</v>
      </c>
      <c r="D85" s="83">
        <f t="shared" si="10"/>
        <v>0</v>
      </c>
      <c r="E85" s="84">
        <f t="shared" si="11"/>
        <v>0</v>
      </c>
      <c r="F85" s="85">
        <f t="shared" si="12"/>
        <v>0</v>
      </c>
    </row>
    <row r="86" spans="1:6" ht="21" customHeight="1">
      <c r="A86" s="80"/>
      <c r="B86" s="72" t="s">
        <v>48</v>
      </c>
      <c r="C86" s="82">
        <f t="shared" si="9"/>
        <v>13</v>
      </c>
      <c r="D86" s="83">
        <f t="shared" si="10"/>
        <v>0</v>
      </c>
      <c r="E86" s="84">
        <f t="shared" si="11"/>
        <v>0</v>
      </c>
      <c r="F86" s="85">
        <f t="shared" si="12"/>
        <v>0</v>
      </c>
    </row>
    <row r="87" spans="1:6" ht="21" customHeight="1" thickBot="1">
      <c r="A87" s="80"/>
      <c r="B87" s="72" t="s">
        <v>49</v>
      </c>
      <c r="C87" s="82" t="e">
        <f>(#REF!+#REF!+#REF!)/3</f>
        <v>#REF!</v>
      </c>
      <c r="D87" s="83" t="e">
        <f>(#REF!+#REF!+#REF!)/3</f>
        <v>#REF!</v>
      </c>
      <c r="E87" s="84" t="e">
        <f>(#REF!+#REF!+#REF!)/3</f>
        <v>#REF!</v>
      </c>
      <c r="F87" s="85" t="e">
        <f>(#REF!+#REF!+#REF!)/3</f>
        <v>#REF!</v>
      </c>
    </row>
    <row r="88" spans="1:6" ht="21" customHeight="1" thickBot="1">
      <c r="A88" s="80"/>
      <c r="B88" s="75" t="s">
        <v>35</v>
      </c>
      <c r="C88" s="86" t="e">
        <f>SUM(C77:C87)</f>
        <v>#REF!</v>
      </c>
      <c r="D88" s="78" t="e">
        <f>SUM(D77:D87)</f>
        <v>#REF!</v>
      </c>
      <c r="E88" s="77" t="e">
        <f>SUM(E77:E87)</f>
        <v>#REF!</v>
      </c>
      <c r="F88" s="87" t="e">
        <f>SUM(F77:F87)</f>
        <v>#REF!</v>
      </c>
    </row>
    <row r="89" spans="1:6" ht="21" customHeight="1">
      <c r="A89" s="88" t="s">
        <v>40</v>
      </c>
      <c r="B89" s="81" t="s">
        <v>24</v>
      </c>
      <c r="C89" s="71">
        <f>(C45+D45+E45)/3</f>
        <v>0</v>
      </c>
      <c r="D89" s="66">
        <f>(F45+G45+H45)/3</f>
        <v>0</v>
      </c>
      <c r="E89" s="67">
        <f>(I45+J45+K45)/3</f>
        <v>0</v>
      </c>
      <c r="F89" s="68">
        <f>(L45+M45+N45)/3</f>
        <v>0</v>
      </c>
    </row>
    <row r="90" spans="1:6" ht="21" customHeight="1">
      <c r="A90" s="89"/>
      <c r="B90" s="81" t="s">
        <v>17</v>
      </c>
      <c r="C90" s="71" t="e">
        <f>(#REF!+#REF!+#REF!)/3</f>
        <v>#REF!</v>
      </c>
      <c r="D90" s="66" t="e">
        <f>(#REF!+#REF!+#REF!)/3</f>
        <v>#REF!</v>
      </c>
      <c r="E90" s="67" t="e">
        <f>(#REF!+#REF!+#REF!)/3</f>
        <v>#REF!</v>
      </c>
      <c r="F90" s="68" t="e">
        <f>(#REF!+#REF!+#REF!)/3</f>
        <v>#REF!</v>
      </c>
    </row>
    <row r="91" spans="1:6" ht="21" customHeight="1">
      <c r="A91" s="89"/>
      <c r="B91" s="70" t="s">
        <v>20</v>
      </c>
      <c r="C91" s="71" t="e">
        <f>(#REF!+#REF!+#REF!)/3</f>
        <v>#REF!</v>
      </c>
      <c r="D91" s="66" t="e">
        <f>(#REF!+#REF!+#REF!)/3</f>
        <v>#REF!</v>
      </c>
      <c r="E91" s="67" t="e">
        <f>(#REF!+#REF!+#REF!)/3</f>
        <v>#REF!</v>
      </c>
      <c r="F91" s="68" t="e">
        <f>(#REF!+#REF!+#REF!)/3</f>
        <v>#REF!</v>
      </c>
    </row>
    <row r="92" spans="1:6" ht="21" customHeight="1">
      <c r="A92" s="89"/>
      <c r="B92" s="70" t="s">
        <v>22</v>
      </c>
      <c r="C92" s="71">
        <f>(C48+D48+E48)/3</f>
        <v>28.333333333333332</v>
      </c>
      <c r="D92" s="66">
        <f>(F48+G48+H48)/3</f>
        <v>0</v>
      </c>
      <c r="E92" s="67">
        <f>(I48+J48+K48)/3</f>
        <v>0</v>
      </c>
      <c r="F92" s="68">
        <f>(L48+M48+N48)/3</f>
        <v>0</v>
      </c>
    </row>
    <row r="93" spans="1:6" ht="21" customHeight="1">
      <c r="A93" s="89"/>
      <c r="B93" s="70" t="s">
        <v>37</v>
      </c>
      <c r="C93" s="71">
        <f>(C49+D49+E49)/3</f>
        <v>0</v>
      </c>
      <c r="D93" s="66">
        <f>(F49+G49+H49)/3</f>
        <v>0</v>
      </c>
      <c r="E93" s="67">
        <f>(I49+J49+K49)/3</f>
        <v>0</v>
      </c>
      <c r="F93" s="68">
        <f>(L49+M49+N49)/3</f>
        <v>0</v>
      </c>
    </row>
    <row r="94" spans="1:6" ht="21" customHeight="1">
      <c r="A94" s="89"/>
      <c r="B94" s="70" t="s">
        <v>30</v>
      </c>
      <c r="C94" s="71">
        <f>(C50+D50+E50)/3</f>
        <v>0</v>
      </c>
      <c r="D94" s="66">
        <f>(F50+G50+H50)/3</f>
        <v>0</v>
      </c>
      <c r="E94" s="67">
        <f>(I50+J50+K50)/3</f>
        <v>0</v>
      </c>
      <c r="F94" s="68">
        <f>(L50+M50+N50)/3</f>
        <v>0</v>
      </c>
    </row>
    <row r="95" spans="1:6" ht="21" customHeight="1">
      <c r="A95" s="89"/>
      <c r="B95" s="70" t="s">
        <v>21</v>
      </c>
      <c r="C95" s="71" t="e">
        <f>(#REF!+#REF!+#REF!)/3</f>
        <v>#REF!</v>
      </c>
      <c r="D95" s="66" t="e">
        <f>(#REF!+#REF!+#REF!)/3</f>
        <v>#REF!</v>
      </c>
      <c r="E95" s="67" t="e">
        <f>(#REF!+#REF!+#REF!)/3</f>
        <v>#REF!</v>
      </c>
      <c r="F95" s="68" t="e">
        <f>(#REF!+#REF!+#REF!)/3</f>
        <v>#REF!</v>
      </c>
    </row>
    <row r="96" spans="1:6" ht="21" customHeight="1">
      <c r="A96" s="89"/>
      <c r="B96" s="70" t="s">
        <v>19</v>
      </c>
      <c r="C96" s="71" t="e">
        <f>(#REF!+#REF!+#REF!)/3</f>
        <v>#REF!</v>
      </c>
      <c r="D96" s="66" t="e">
        <f>(#REF!+#REF!+#REF!)/3</f>
        <v>#REF!</v>
      </c>
      <c r="E96" s="67" t="e">
        <f>(#REF!+#REF!+#REF!)/3</f>
        <v>#REF!</v>
      </c>
      <c r="F96" s="68" t="e">
        <f>(#REF!+#REF!+#REF!)/3</f>
        <v>#REF!</v>
      </c>
    </row>
    <row r="97" spans="1:7" ht="21" customHeight="1">
      <c r="A97" s="89"/>
      <c r="B97" s="70" t="s">
        <v>34</v>
      </c>
      <c r="C97" s="71">
        <f>(C52+D52+E52)/3</f>
        <v>78.666666666666671</v>
      </c>
      <c r="D97" s="66">
        <f>(F52+G52+H52)/3</f>
        <v>0</v>
      </c>
      <c r="E97" s="67">
        <f>(I52+J52+K52)/3</f>
        <v>0</v>
      </c>
      <c r="F97" s="68">
        <f>(L52+M52+N52)/3</f>
        <v>0</v>
      </c>
    </row>
    <row r="98" spans="1:7" ht="21" customHeight="1">
      <c r="A98" s="89"/>
      <c r="B98" s="70" t="s">
        <v>50</v>
      </c>
      <c r="C98" s="71" t="e">
        <f>(#REF!+#REF!+#REF!)/3</f>
        <v>#REF!</v>
      </c>
      <c r="D98" s="66" t="e">
        <f>(#REF!+#REF!+#REF!)/3</f>
        <v>#REF!</v>
      </c>
      <c r="E98" s="67" t="e">
        <f>(#REF!+#REF!+#REF!)/3</f>
        <v>#REF!</v>
      </c>
      <c r="F98" s="68" t="e">
        <f>(#REF!+#REF!+#REF!)/3</f>
        <v>#REF!</v>
      </c>
    </row>
    <row r="99" spans="1:7" ht="21" customHeight="1" thickBot="1">
      <c r="A99" s="89"/>
      <c r="B99" s="73" t="s">
        <v>28</v>
      </c>
      <c r="C99" s="71">
        <f>(C56+D56+E56)/3</f>
        <v>0</v>
      </c>
      <c r="D99" s="66">
        <f>(F56+G56+H56)/3</f>
        <v>0</v>
      </c>
      <c r="E99" s="67">
        <f>(I56+J56+K56)/3</f>
        <v>0</v>
      </c>
      <c r="F99" s="68">
        <f>(L56+M56+N56)/3</f>
        <v>0</v>
      </c>
    </row>
    <row r="100" spans="1:7" ht="21" customHeight="1" thickBot="1">
      <c r="A100" s="90"/>
      <c r="B100" s="91" t="s">
        <v>35</v>
      </c>
      <c r="C100" s="86" t="e">
        <f>SUM(C89:C99)</f>
        <v>#REF!</v>
      </c>
      <c r="D100" s="78" t="e">
        <f>SUM(D89:D99)</f>
        <v>#REF!</v>
      </c>
      <c r="E100" s="77" t="e">
        <f>SUM(E89:E99)</f>
        <v>#REF!</v>
      </c>
      <c r="F100" s="87" t="e">
        <f>SUM(F89:F99)</f>
        <v>#REF!</v>
      </c>
    </row>
    <row r="101" spans="1:7" ht="25.5">
      <c r="A101" s="92" t="s">
        <v>41</v>
      </c>
      <c r="B101" s="92"/>
      <c r="C101" s="92"/>
      <c r="D101" s="92"/>
      <c r="E101" s="92"/>
      <c r="F101" s="92"/>
      <c r="G101" s="93"/>
    </row>
    <row r="102" spans="1:7" ht="20.25">
      <c r="A102" s="94"/>
      <c r="B102" s="94"/>
      <c r="C102" s="94"/>
      <c r="D102" s="94"/>
      <c r="E102" s="94"/>
      <c r="F102" s="94"/>
    </row>
  </sheetData>
  <mergeCells count="15">
    <mergeCell ref="A89:A100"/>
    <mergeCell ref="A101:F101"/>
    <mergeCell ref="A102:F102"/>
    <mergeCell ref="A58:G58"/>
    <mergeCell ref="A63:F63"/>
    <mergeCell ref="A64:B65"/>
    <mergeCell ref="C64:F64"/>
    <mergeCell ref="A66:A76"/>
    <mergeCell ref="A77:A88"/>
    <mergeCell ref="A1:N1"/>
    <mergeCell ref="A2:B3"/>
    <mergeCell ref="C2:N2"/>
    <mergeCell ref="A4:A23"/>
    <mergeCell ref="A24:A44"/>
    <mergeCell ref="A45:A57"/>
  </mergeCells>
  <printOptions horizontalCentered="1" verticalCentered="1"/>
  <pageMargins left="0" right="0" top="0" bottom="0" header="0" footer="0"/>
  <pageSetup paperSize="9" scale="40" orientation="portrait" r:id="rId1"/>
  <headerFooter>
    <oddHeader>&amp;R&amp;"B Jalal,Bold"&amp;22ماهنامه آماري8 ماهه 1402 راه آهن جمهوري اسلامي ايران</oddHeader>
    <oddFooter>&amp;L&amp;"B Jalal,Regular"&amp;22 21&amp;R&amp;"B Jalal,Regular"&amp;20گروه آمار و اطلاعات</oddFooter>
  </headerFooter>
  <rowBreaks count="1" manualBreakCount="1">
    <brk id="5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ميانگين روزانه لکوموتيوها</vt:lpstr>
      <vt:lpstr>'ميانگين روزانه لکوموتيوها'!Print_Area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roghani</dc:creator>
  <cp:lastModifiedBy>roghani</cp:lastModifiedBy>
  <dcterms:created xsi:type="dcterms:W3CDTF">2015-06-05T18:17:20Z</dcterms:created>
  <dcterms:modified xsi:type="dcterms:W3CDTF">2024-10-15T07:16:02Z</dcterms:modified>
</cp:coreProperties>
</file>