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hosravi\Desktop\New folder (2)\گزارش\1 - Copy\New folder\"/>
    </mc:Choice>
  </mc:AlternateContent>
  <bookViews>
    <workbookView xWindow="0" yWindow="0" windowWidth="28800" windowHeight="11580"/>
  </bookViews>
  <sheets>
    <sheet name="واريزي ب خزانه" sheetId="2" r:id="rId1"/>
  </sheets>
  <definedNames>
    <definedName name="_xlnm.Print_Area" localSheetId="0">'واريزي ب خزانه'!$A$1:$AD$41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43" i="2" l="1"/>
  <c r="M40" i="2"/>
  <c r="L40" i="2"/>
  <c r="K40" i="2"/>
  <c r="J40" i="2"/>
  <c r="I40" i="2"/>
  <c r="H40" i="2"/>
  <c r="G40" i="2"/>
  <c r="F40" i="2"/>
  <c r="E40" i="2"/>
  <c r="AC39" i="2"/>
  <c r="AB39" i="2"/>
  <c r="AA39" i="2"/>
  <c r="Z39" i="2"/>
  <c r="X39" i="2"/>
  <c r="W39" i="2"/>
  <c r="V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AC35" i="2"/>
  <c r="AC40" i="2" s="1"/>
  <c r="AB35" i="2"/>
  <c r="AB40" i="2" s="1"/>
  <c r="AA35" i="2"/>
  <c r="AA40" i="2" s="1"/>
  <c r="Z35" i="2"/>
  <c r="Z40" i="2" s="1"/>
  <c r="Y35" i="2"/>
  <c r="Y40" i="2" s="1"/>
  <c r="Y41" i="2" s="1"/>
  <c r="X35" i="2"/>
  <c r="X40" i="2" s="1"/>
  <c r="X41" i="2" s="1"/>
  <c r="M35" i="2"/>
  <c r="L35" i="2"/>
  <c r="K35" i="2"/>
  <c r="J35" i="2"/>
  <c r="I35" i="2"/>
  <c r="H35" i="2"/>
  <c r="G35" i="2"/>
  <c r="F35" i="2"/>
  <c r="E35" i="2"/>
  <c r="R34" i="2"/>
  <c r="Q34" i="2"/>
  <c r="P34" i="2"/>
  <c r="O34" i="2"/>
  <c r="O40" i="2" s="1"/>
  <c r="N34" i="2"/>
  <c r="AD30" i="2"/>
  <c r="AD27" i="2"/>
  <c r="V26" i="2"/>
  <c r="U26" i="2"/>
  <c r="T26" i="2"/>
  <c r="S26" i="2"/>
  <c r="R26" i="2"/>
  <c r="Q26" i="2"/>
  <c r="P26" i="2"/>
  <c r="W25" i="2"/>
  <c r="T25" i="2"/>
  <c r="AD23" i="2"/>
  <c r="AD22" i="2"/>
  <c r="AC21" i="2"/>
  <c r="AA21" i="2"/>
  <c r="Z21" i="2"/>
  <c r="Y21" i="2"/>
  <c r="W20" i="2"/>
  <c r="V20" i="2"/>
  <c r="V21" i="2" s="1"/>
  <c r="U20" i="2"/>
  <c r="U21" i="2" s="1"/>
  <c r="T20" i="2"/>
  <c r="T21" i="2" s="1"/>
  <c r="S20" i="2"/>
  <c r="S21" i="2" s="1"/>
  <c r="AD19" i="2"/>
  <c r="X18" i="2"/>
  <c r="V18" i="2"/>
  <c r="U18" i="2"/>
  <c r="S18" i="2"/>
  <c r="W17" i="2"/>
  <c r="W18" i="2" s="1"/>
  <c r="T17" i="2"/>
  <c r="AD17" i="2" s="1"/>
  <c r="AD16" i="2"/>
  <c r="X15" i="2"/>
  <c r="S15" i="2"/>
  <c r="W14" i="2"/>
  <c r="W15" i="2" s="1"/>
  <c r="V14" i="2"/>
  <c r="U14" i="2"/>
  <c r="U15" i="2" s="1"/>
  <c r="T14" i="2"/>
  <c r="T15" i="2" s="1"/>
  <c r="R14" i="2"/>
  <c r="R15" i="2" s="1"/>
  <c r="Q14" i="2"/>
  <c r="AD13" i="2"/>
  <c r="AC12" i="2"/>
  <c r="AD11" i="2"/>
  <c r="AD10" i="2"/>
  <c r="AC9" i="2"/>
  <c r="AB9" i="2"/>
  <c r="AA9" i="2"/>
  <c r="Z9" i="2"/>
  <c r="Y9" i="2"/>
  <c r="X9" i="2"/>
  <c r="N9" i="2"/>
  <c r="M9" i="2"/>
  <c r="L9" i="2"/>
  <c r="K9" i="2"/>
  <c r="J9" i="2"/>
  <c r="I9" i="2"/>
  <c r="H9" i="2"/>
  <c r="G9" i="2"/>
  <c r="F9" i="2"/>
  <c r="E9" i="2"/>
  <c r="W7" i="2"/>
  <c r="V7" i="2"/>
  <c r="U7" i="2"/>
  <c r="P6" i="2"/>
  <c r="O6" i="2"/>
  <c r="P5" i="2"/>
  <c r="O5" i="2"/>
  <c r="Y4" i="2"/>
  <c r="X4" i="2"/>
  <c r="W4" i="2"/>
  <c r="V4" i="2"/>
  <c r="U4" i="2"/>
  <c r="T4" i="2"/>
  <c r="T8" i="2" s="1"/>
  <c r="S4" i="2"/>
  <c r="S8" i="2" s="1"/>
  <c r="R4" i="2"/>
  <c r="R8" i="2" s="1"/>
  <c r="Q4" i="2"/>
  <c r="Q8" i="2" s="1"/>
  <c r="Q9" i="2" s="1"/>
  <c r="P4" i="2"/>
  <c r="O4" i="2"/>
  <c r="AD3" i="2"/>
  <c r="P8" i="2" l="1"/>
  <c r="G41" i="2"/>
  <c r="K41" i="2"/>
  <c r="O41" i="2"/>
  <c r="Z41" i="2"/>
  <c r="I41" i="2"/>
  <c r="S40" i="2"/>
  <c r="S41" i="2" s="1"/>
  <c r="V8" i="2"/>
  <c r="V40" i="2" s="1"/>
  <c r="V41" i="2" s="1"/>
  <c r="AD18" i="2"/>
  <c r="AD25" i="2"/>
  <c r="O35" i="2"/>
  <c r="AA41" i="2"/>
  <c r="M41" i="2"/>
  <c r="W8" i="2"/>
  <c r="J41" i="2"/>
  <c r="U8" i="2"/>
  <c r="U9" i="2" s="1"/>
  <c r="AD14" i="2"/>
  <c r="AD15" i="2" s="1"/>
  <c r="AD24" i="2"/>
  <c r="AD34" i="2"/>
  <c r="H41" i="2"/>
  <c r="L41" i="2"/>
  <c r="AB41" i="2"/>
  <c r="T18" i="2"/>
  <c r="AD39" i="2"/>
  <c r="P35" i="2"/>
  <c r="T35" i="2"/>
  <c r="P9" i="2"/>
  <c r="AD8" i="2"/>
  <c r="AD9" i="2" s="1"/>
  <c r="P40" i="2"/>
  <c r="P41" i="2" s="1"/>
  <c r="R9" i="2"/>
  <c r="R40" i="2"/>
  <c r="R41" i="2" s="1"/>
  <c r="V9" i="2"/>
  <c r="AC41" i="2"/>
  <c r="P36" i="2"/>
  <c r="T9" i="2"/>
  <c r="T40" i="2"/>
  <c r="T41" i="2" s="1"/>
  <c r="W35" i="2"/>
  <c r="W40" i="2" s="1"/>
  <c r="W41" i="2" s="1"/>
  <c r="W9" i="2"/>
  <c r="R35" i="2"/>
  <c r="Q35" i="2"/>
  <c r="Q36" i="2" s="1"/>
  <c r="E41" i="2"/>
  <c r="Q15" i="2"/>
  <c r="N35" i="2"/>
  <c r="Q40" i="2"/>
  <c r="Q41" i="2" s="1"/>
  <c r="F41" i="2"/>
  <c r="S9" i="2"/>
  <c r="AD20" i="2"/>
  <c r="AD21" i="2" s="1"/>
  <c r="S35" i="2"/>
  <c r="N40" i="2"/>
  <c r="N41" i="2" s="1"/>
  <c r="AD26" i="2"/>
  <c r="U40" i="2" l="1"/>
  <c r="U41" i="2" s="1"/>
  <c r="U35" i="2"/>
  <c r="V35" i="2"/>
  <c r="AD35" i="2"/>
  <c r="AD40" i="2"/>
  <c r="AD41" i="2" s="1"/>
</calcChain>
</file>

<file path=xl/sharedStrings.xml><?xml version="1.0" encoding="utf-8"?>
<sst xmlns="http://schemas.openxmlformats.org/spreadsheetml/2006/main" count="74" uniqueCount="41">
  <si>
    <t>عنوان</t>
  </si>
  <si>
    <t>جمع كل</t>
  </si>
  <si>
    <t>تحقق اهداف  بودجه اي 
حاصل از واگذاري (ميليارد ريال)</t>
  </si>
  <si>
    <t>تكليف واريز به حساب درآمد عمومي به موجب قانون بودجه سالانه كل كشور</t>
  </si>
  <si>
    <t>درصد تحقق هدف حساب درآمد عمومي</t>
  </si>
  <si>
    <t>تکلیف در راستای ردیف درآمدی 310520 موضوع واگذاری سهام از طریق مزایده عمومی جهت تسویه بدهی دانشگاهها و دانشکده های علوم پزشکی وابسته به وزارت بهداشت</t>
  </si>
  <si>
    <t>عملکرد در راستای ردیف درآمدی 310520</t>
  </si>
  <si>
    <t>درصد تحقق ردیف درآمدی 310520</t>
  </si>
  <si>
    <t>تكليف واريز به حساب خاص خزانه به موجب قانون بودجه سالانه كل كشور جهت مصرف در موارد خاص</t>
  </si>
  <si>
    <t xml:space="preserve">عملكرد در راستاي واريز به حساب خاص خزانه </t>
  </si>
  <si>
    <t>درصد تحقق هدف حساب خاص</t>
  </si>
  <si>
    <t>تكليف در راستاي رديف درآمدي 310801 موضوع واگذاري باقيمانده سهام بانك ها و بيمه ها</t>
  </si>
  <si>
    <t>عملكرد در راستاي رديف درآمدي 310801</t>
  </si>
  <si>
    <t>درصد تحقق هدف رديف درآمدي 310801</t>
  </si>
  <si>
    <t xml:space="preserve">تكليف در راستاي رديف درآمدي 310515 موضوع واگذاري سهام متعلق به وزارت جهاد كشاورزي </t>
  </si>
  <si>
    <t>عملكرد در راستاي رديف درآمدي 310515</t>
  </si>
  <si>
    <t>درصد تحقق هدف رديف درآمدي 310515</t>
  </si>
  <si>
    <t xml:space="preserve">تكليف در راستاي رديف درآمدي 310516 </t>
  </si>
  <si>
    <t>عملكرد در راستاي رديف درآمدي 310516</t>
  </si>
  <si>
    <t>درصد تحقق هدف رديف درآمدي 310516</t>
  </si>
  <si>
    <t>عملكرد در راستاي واريز به حساب 108 موضوع تسويه بدهي كاركنان صندوق بازنشستگي فولاد</t>
  </si>
  <si>
    <t>واریز به ساير حساب هاي خاص خزانه در راستاي بندهاي قانون بودجه سالانه كل كشور</t>
  </si>
  <si>
    <t>تهاتر منابع حاصل از واگذاري با بدهي دولت به اشخاص</t>
  </si>
  <si>
    <t>جمع کل وجوه واریزی به خزانه به علاوه تهاتر</t>
  </si>
  <si>
    <t>مجموع تكليف (ميليارد ريال)</t>
  </si>
  <si>
    <t>مجموع عملكرد (ميليارد ريال)</t>
  </si>
  <si>
    <t>درصد تحقق كل هدف</t>
  </si>
  <si>
    <r>
      <rPr>
        <sz val="22"/>
        <rFont val="B Titr"/>
        <charset val="178"/>
      </rPr>
      <t xml:space="preserve">آمارهاي تحقق اهداف بودجه اي واگذاري سهام و بنگاه ها توسط سازمان خصوصی سازی از سال 1380 لغايت 1404/11/30     </t>
    </r>
    <r>
      <rPr>
        <sz val="20"/>
        <rFont val="B Titr"/>
        <charset val="178"/>
      </rPr>
      <t xml:space="preserve"> </t>
    </r>
    <r>
      <rPr>
        <sz val="16"/>
        <rFont val="B Titr"/>
        <charset val="17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ارقام به ميليارد ريال       </t>
    </r>
  </si>
  <si>
    <t>عملكرد در راستاي واريز به حساب درآمد عمومي *</t>
  </si>
  <si>
    <t xml:space="preserve">ثمن نقدي سال </t>
  </si>
  <si>
    <t>_</t>
  </si>
  <si>
    <t>d2(سهام عدالت)</t>
  </si>
  <si>
    <t>تکلیف منابع حاصل از فروش سهام و دارایی های مالی موضوع تأدیه دیون دولت از محل واگذاری سهام جهت تقویت تأمین اجتماعی موضوع بند (و) تبصره (2)</t>
  </si>
  <si>
    <t>عملكرد در راستاي رديف درآمدي 310517</t>
  </si>
  <si>
    <t>درصد تحقق هدف رديف درآمدي 310517</t>
  </si>
  <si>
    <t>تکلیف منابع حاصل از فروش سهام و دارایی های مالی برای اجرا و تکمیل طرح های تملک دارایی های سرمایه ای - تأدیه دیون دولت از محل واگذاری سهام به پیمانکاران و مشاوران غیر دولتی و قرارگاه خاتم الانبیاء موضوع بند (ط) تبصره(2)</t>
  </si>
  <si>
    <t>عملكرد در راستاي رديف درآمدي 310518</t>
  </si>
  <si>
    <t>درصد تحقق هدف رديف درآمدي 310518</t>
  </si>
  <si>
    <t>تکلیف منابع حاصل از فروش سهام شرکتهای دولتی جهت تادیه بدهی دولت به سازمان تامین اجتماعی بند (ی) تبصره (2)</t>
  </si>
  <si>
    <t>تحقق درآمد پيش بيني شده در بودجه پس از اعمال تهاتر و با احتساب مبالغ واريزي به حسابهاي خاص خزانه(درصد)</t>
  </si>
  <si>
    <t>*309%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</si>
</sst>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_-* #,##0.00_-;_-* #,##0.00\-;_-* &quot;-&quot;??_-;_-@_-"/>
    <numFmt numFmtId="166" formatCode="_-* #,##0_-;_-* #,##0\-;_-* &quot;-&quot;??_-;_-@_-"/>
  </numFmts>
  <fonts count="16" x14ac:knownFonts="1">
    <font>
      <sz val="11"/>
      <color theme="1"/>
      <name val="Calibri"/>
      <family val="2"/>
      <scheme val="minor"/>
    </font>
    <font>
      <sz val="16"/>
      <name val="B Titr"/>
      <charset val="178"/>
    </font>
    <font>
      <b/>
      <sz val="16"/>
      <name val="B Titr"/>
      <charset val="178"/>
    </font>
    <font>
      <b/>
      <sz val="16"/>
      <name val="B Lotus"/>
      <charset val="178"/>
    </font>
    <font>
      <sz val="16"/>
      <name val="B Lotus"/>
      <charset val="178"/>
    </font>
    <font>
      <sz val="16"/>
      <color theme="1"/>
      <name val="B Lotus"/>
      <charset val="178"/>
    </font>
    <font>
      <b/>
      <i/>
      <sz val="16"/>
      <name val="B Lotus"/>
      <charset val="178"/>
    </font>
    <font>
      <sz val="10"/>
      <name val="Arial"/>
      <family val="2"/>
    </font>
    <font>
      <i/>
      <sz val="16"/>
      <name val="B Lotus"/>
      <charset val="178"/>
    </font>
    <font>
      <b/>
      <sz val="16"/>
      <color theme="1"/>
      <name val="B Lotus"/>
      <charset val="178"/>
    </font>
    <font>
      <sz val="16"/>
      <name val="B Homa"/>
      <charset val="178"/>
    </font>
    <font>
      <sz val="10"/>
      <name val="Arial"/>
      <charset val="178"/>
    </font>
    <font>
      <sz val="22"/>
      <name val="B Titr"/>
      <charset val="178"/>
    </font>
    <font>
      <sz val="20"/>
      <name val="B Titr"/>
      <charset val="178"/>
    </font>
    <font>
      <sz val="16"/>
      <name val="Arial"/>
      <family val="2"/>
    </font>
    <font>
      <b/>
      <sz val="20"/>
      <name val="B Lotus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0" fontId="11" fillId="0" borderId="0"/>
    <xf numFmtId="9" fontId="7" fillId="0" borderId="0" applyFont="0" applyFill="0" applyBorder="0" applyAlignment="0" applyProtection="0"/>
  </cellStyleXfs>
  <cellXfs count="114">
    <xf numFmtId="0" fontId="0" fillId="0" borderId="0" xfId="0"/>
    <xf numFmtId="3" fontId="3" fillId="0" borderId="2" xfId="1" applyNumberFormat="1" applyFont="1" applyBorder="1" applyAlignment="1">
      <alignment horizontal="center" vertical="center"/>
    </xf>
    <xf numFmtId="0" fontId="1" fillId="0" borderId="0" xfId="2" applyFont="1" applyFill="1" applyBorder="1" applyAlignment="1">
      <alignment horizontal="left" vertical="top"/>
    </xf>
    <xf numFmtId="0" fontId="14" fillId="0" borderId="0" xfId="2" applyFont="1"/>
    <xf numFmtId="0" fontId="1" fillId="2" borderId="2" xfId="2" applyFont="1" applyFill="1" applyBorder="1" applyAlignment="1">
      <alignment horizontal="center" vertical="center" wrapText="1" readingOrder="1"/>
    </xf>
    <xf numFmtId="0" fontId="1" fillId="2" borderId="3" xfId="2" applyFont="1" applyFill="1" applyBorder="1" applyAlignment="1">
      <alignment horizontal="center" vertical="center" wrapText="1" readingOrder="1"/>
    </xf>
    <xf numFmtId="0" fontId="1" fillId="2" borderId="19" xfId="2" applyFont="1" applyFill="1" applyBorder="1" applyAlignment="1">
      <alignment horizontal="center" vertical="center" wrapText="1" readingOrder="1"/>
    </xf>
    <xf numFmtId="0" fontId="1" fillId="2" borderId="20" xfId="2" applyFont="1" applyFill="1" applyBorder="1" applyAlignment="1">
      <alignment horizontal="center" vertical="center" wrapText="1" readingOrder="1"/>
    </xf>
    <xf numFmtId="0" fontId="2" fillId="2" borderId="2" xfId="2" applyFont="1" applyFill="1" applyBorder="1" applyAlignment="1">
      <alignment horizontal="center" vertical="center"/>
    </xf>
    <xf numFmtId="3" fontId="1" fillId="2" borderId="2" xfId="2" applyNumberFormat="1" applyFont="1" applyFill="1" applyBorder="1" applyAlignment="1">
      <alignment horizontal="center" vertical="center" wrapText="1" readingOrder="1"/>
    </xf>
    <xf numFmtId="0" fontId="2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right" vertical="center" wrapText="1"/>
    </xf>
    <xf numFmtId="3" fontId="4" fillId="0" borderId="2" xfId="2" applyNumberFormat="1" applyFont="1" applyBorder="1" applyAlignment="1">
      <alignment horizontal="center" vertical="center"/>
    </xf>
    <xf numFmtId="3" fontId="4" fillId="3" borderId="2" xfId="2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3" fontId="4" fillId="0" borderId="3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right" vertical="center" wrapText="1"/>
    </xf>
    <xf numFmtId="0" fontId="3" fillId="2" borderId="5" xfId="2" applyFont="1" applyFill="1" applyBorder="1" applyAlignment="1">
      <alignment horizontal="right" vertical="center" wrapText="1"/>
    </xf>
    <xf numFmtId="0" fontId="3" fillId="2" borderId="6" xfId="2" applyFont="1" applyFill="1" applyBorder="1" applyAlignment="1">
      <alignment horizontal="right" vertical="center" wrapText="1"/>
    </xf>
    <xf numFmtId="3" fontId="3" fillId="0" borderId="2" xfId="2" applyNumberFormat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horizontal="center" vertical="center"/>
    </xf>
    <xf numFmtId="3" fontId="5" fillId="3" borderId="2" xfId="2" applyNumberFormat="1" applyFont="1" applyFill="1" applyBorder="1" applyAlignment="1">
      <alignment horizontal="center" vertical="center"/>
    </xf>
    <xf numFmtId="3" fontId="4" fillId="3" borderId="3" xfId="2" applyNumberFormat="1" applyFont="1" applyFill="1" applyBorder="1" applyAlignment="1">
      <alignment horizontal="center" vertical="center"/>
    </xf>
    <xf numFmtId="0" fontId="3" fillId="2" borderId="21" xfId="2" applyFont="1" applyFill="1" applyBorder="1" applyAlignment="1">
      <alignment horizontal="right" vertical="center" wrapText="1"/>
    </xf>
    <xf numFmtId="0" fontId="3" fillId="2" borderId="0" xfId="2" applyFont="1" applyFill="1" applyBorder="1" applyAlignment="1">
      <alignment horizontal="right" vertical="center" wrapText="1"/>
    </xf>
    <xf numFmtId="0" fontId="3" fillId="2" borderId="22" xfId="2" applyFont="1" applyFill="1" applyBorder="1" applyAlignment="1">
      <alignment horizontal="right" vertical="center" wrapText="1"/>
    </xf>
    <xf numFmtId="0" fontId="3" fillId="2" borderId="7" xfId="2" applyFont="1" applyFill="1" applyBorder="1" applyAlignment="1">
      <alignment horizontal="right" vertical="center" wrapText="1"/>
    </xf>
    <xf numFmtId="0" fontId="3" fillId="2" borderId="8" xfId="2" applyFont="1" applyFill="1" applyBorder="1" applyAlignment="1">
      <alignment horizontal="right" vertical="center" wrapText="1"/>
    </xf>
    <xf numFmtId="0" fontId="3" fillId="2" borderId="9" xfId="2" applyFont="1" applyFill="1" applyBorder="1" applyAlignment="1">
      <alignment horizontal="right" vertical="center" wrapText="1"/>
    </xf>
    <xf numFmtId="0" fontId="6" fillId="2" borderId="10" xfId="2" applyFont="1" applyFill="1" applyBorder="1" applyAlignment="1">
      <alignment horizontal="right" vertical="center" wrapText="1"/>
    </xf>
    <xf numFmtId="0" fontId="6" fillId="2" borderId="11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9" fontId="6" fillId="2" borderId="13" xfId="3" applyFont="1" applyFill="1" applyBorder="1" applyAlignment="1">
      <alignment horizontal="center" vertical="center"/>
    </xf>
    <xf numFmtId="164" fontId="6" fillId="2" borderId="13" xfId="3" applyNumberFormat="1" applyFont="1" applyFill="1" applyBorder="1" applyAlignment="1">
      <alignment horizontal="center" vertical="center"/>
    </xf>
    <xf numFmtId="9" fontId="8" fillId="2" borderId="13" xfId="3" applyFont="1" applyFill="1" applyBorder="1" applyAlignment="1">
      <alignment horizontal="center" vertical="center"/>
    </xf>
    <xf numFmtId="3" fontId="6" fillId="3" borderId="14" xfId="2" applyNumberFormat="1" applyFont="1" applyFill="1" applyBorder="1" applyAlignment="1">
      <alignment horizontal="center" vertical="center"/>
    </xf>
    <xf numFmtId="3" fontId="6" fillId="3" borderId="7" xfId="2" applyNumberFormat="1" applyFont="1" applyFill="1" applyBorder="1" applyAlignment="1">
      <alignment horizontal="center" vertical="center"/>
    </xf>
    <xf numFmtId="3" fontId="4" fillId="0" borderId="14" xfId="2" applyNumberFormat="1" applyFont="1" applyFill="1" applyBorder="1" applyAlignment="1">
      <alignment horizontal="center" vertical="center"/>
    </xf>
    <xf numFmtId="3" fontId="6" fillId="4" borderId="2" xfId="2" applyNumberFormat="1" applyFont="1" applyFill="1" applyBorder="1" applyAlignment="1">
      <alignment horizontal="center" vertical="center"/>
    </xf>
    <xf numFmtId="3" fontId="6" fillId="3" borderId="3" xfId="2" applyNumberFormat="1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right" vertical="center" wrapText="1"/>
    </xf>
    <xf numFmtId="0" fontId="3" fillId="2" borderId="11" xfId="2" applyFont="1" applyFill="1" applyBorder="1" applyAlignment="1">
      <alignment horizontal="right" vertical="center" wrapText="1"/>
    </xf>
    <xf numFmtId="0" fontId="3" fillId="2" borderId="12" xfId="2" applyFont="1" applyFill="1" applyBorder="1" applyAlignment="1">
      <alignment horizontal="right" vertical="center" wrapText="1"/>
    </xf>
    <xf numFmtId="3" fontId="6" fillId="2" borderId="13" xfId="2" applyNumberFormat="1" applyFont="1" applyFill="1" applyBorder="1" applyAlignment="1">
      <alignment horizontal="center" vertical="center"/>
    </xf>
    <xf numFmtId="9" fontId="6" fillId="2" borderId="10" xfId="3" applyNumberFormat="1" applyFont="1" applyFill="1" applyBorder="1" applyAlignment="1">
      <alignment horizontal="center" vertical="center"/>
    </xf>
    <xf numFmtId="0" fontId="8" fillId="2" borderId="13" xfId="3" applyNumberFormat="1" applyFont="1" applyFill="1" applyBorder="1" applyAlignment="1">
      <alignment horizontal="center" vertical="center"/>
    </xf>
    <xf numFmtId="0" fontId="15" fillId="2" borderId="7" xfId="2" applyFont="1" applyFill="1" applyBorder="1" applyAlignment="1">
      <alignment horizontal="right" vertical="center" wrapText="1"/>
    </xf>
    <xf numFmtId="0" fontId="15" fillId="2" borderId="8" xfId="2" applyFont="1" applyFill="1" applyBorder="1" applyAlignment="1">
      <alignment horizontal="right" vertical="center" wrapText="1"/>
    </xf>
    <xf numFmtId="0" fontId="15" fillId="2" borderId="9" xfId="2" applyFont="1" applyFill="1" applyBorder="1" applyAlignment="1">
      <alignment horizontal="right" vertical="center" wrapText="1"/>
    </xf>
    <xf numFmtId="3" fontId="4" fillId="0" borderId="7" xfId="2" applyNumberFormat="1" applyFont="1" applyFill="1" applyBorder="1" applyAlignment="1">
      <alignment horizontal="center" vertical="center"/>
    </xf>
    <xf numFmtId="3" fontId="6" fillId="2" borderId="10" xfId="2" applyNumberFormat="1" applyFont="1" applyFill="1" applyBorder="1" applyAlignment="1">
      <alignment horizontal="center" vertical="center"/>
    </xf>
    <xf numFmtId="3" fontId="4" fillId="3" borderId="1" xfId="2" applyNumberFormat="1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horizontal="center" vertical="center"/>
    </xf>
    <xf numFmtId="3" fontId="4" fillId="3" borderId="14" xfId="2" applyNumberFormat="1" applyFont="1" applyFill="1" applyBorder="1" applyAlignment="1">
      <alignment horizontal="center" vertical="center"/>
    </xf>
    <xf numFmtId="3" fontId="4" fillId="3" borderId="7" xfId="2" applyNumberFormat="1" applyFont="1" applyFill="1" applyBorder="1" applyAlignment="1">
      <alignment horizontal="center" vertical="center"/>
    </xf>
    <xf numFmtId="3" fontId="6" fillId="4" borderId="14" xfId="2" applyNumberFormat="1" applyFont="1" applyFill="1" applyBorder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3" fontId="3" fillId="0" borderId="2" xfId="2" applyNumberFormat="1" applyFont="1" applyFill="1" applyBorder="1" applyAlignment="1">
      <alignment horizontal="center" vertical="center"/>
    </xf>
    <xf numFmtId="3" fontId="3" fillId="0" borderId="3" xfId="2" applyNumberFormat="1" applyFont="1" applyFill="1" applyBorder="1" applyAlignment="1">
      <alignment horizontal="center" vertical="center"/>
    </xf>
    <xf numFmtId="3" fontId="3" fillId="3" borderId="1" xfId="2" applyNumberFormat="1" applyFont="1" applyFill="1" applyBorder="1" applyAlignment="1">
      <alignment horizontal="center" vertical="center"/>
    </xf>
    <xf numFmtId="3" fontId="9" fillId="3" borderId="1" xfId="2" applyNumberFormat="1" applyFont="1" applyFill="1" applyBorder="1" applyAlignment="1">
      <alignment horizontal="center" vertical="center"/>
    </xf>
    <xf numFmtId="3" fontId="9" fillId="0" borderId="1" xfId="2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  <xf numFmtId="3" fontId="5" fillId="3" borderId="14" xfId="2" applyNumberFormat="1" applyFont="1" applyFill="1" applyBorder="1" applyAlignment="1">
      <alignment horizontal="center" vertical="center"/>
    </xf>
    <xf numFmtId="3" fontId="8" fillId="2" borderId="13" xfId="2" applyNumberFormat="1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>
      <alignment horizontal="center" vertical="center"/>
    </xf>
    <xf numFmtId="3" fontId="3" fillId="0" borderId="15" xfId="2" applyNumberFormat="1" applyFont="1" applyFill="1" applyBorder="1" applyAlignment="1">
      <alignment horizontal="center" vertical="center"/>
    </xf>
    <xf numFmtId="3" fontId="3" fillId="0" borderId="16" xfId="2" applyNumberFormat="1" applyFont="1" applyFill="1" applyBorder="1" applyAlignment="1">
      <alignment horizontal="center" vertical="center"/>
    </xf>
    <xf numFmtId="3" fontId="4" fillId="0" borderId="15" xfId="2" applyNumberFormat="1" applyFont="1" applyFill="1" applyBorder="1" applyAlignment="1">
      <alignment horizontal="center" vertical="center"/>
    </xf>
    <xf numFmtId="0" fontId="15" fillId="2" borderId="10" xfId="2" applyFont="1" applyFill="1" applyBorder="1" applyAlignment="1">
      <alignment horizontal="right" vertical="center" wrapText="1"/>
    </xf>
    <xf numFmtId="0" fontId="15" fillId="2" borderId="11" xfId="2" applyFont="1" applyFill="1" applyBorder="1" applyAlignment="1">
      <alignment horizontal="right" vertical="center" wrapText="1"/>
    </xf>
    <xf numFmtId="0" fontId="15" fillId="2" borderId="12" xfId="2" applyFont="1" applyFill="1" applyBorder="1" applyAlignment="1">
      <alignment horizontal="right" vertical="center" wrapText="1"/>
    </xf>
    <xf numFmtId="3" fontId="3" fillId="0" borderId="15" xfId="2" applyNumberFormat="1" applyFont="1" applyBorder="1" applyAlignment="1">
      <alignment horizontal="center" vertical="center"/>
    </xf>
    <xf numFmtId="3" fontId="4" fillId="3" borderId="15" xfId="2" applyNumberFormat="1" applyFont="1" applyFill="1" applyBorder="1" applyAlignment="1">
      <alignment horizontal="center" vertical="center"/>
    </xf>
    <xf numFmtId="3" fontId="5" fillId="3" borderId="15" xfId="2" applyNumberFormat="1" applyFont="1" applyFill="1" applyBorder="1" applyAlignment="1">
      <alignment horizontal="center" vertical="center"/>
    </xf>
    <xf numFmtId="3" fontId="5" fillId="3" borderId="13" xfId="2" applyNumberFormat="1" applyFont="1" applyFill="1" applyBorder="1" applyAlignment="1">
      <alignment horizontal="center" vertical="center"/>
    </xf>
    <xf numFmtId="3" fontId="5" fillId="3" borderId="17" xfId="2" applyNumberFormat="1" applyFont="1" applyFill="1" applyBorder="1" applyAlignment="1">
      <alignment horizontal="center" vertical="center"/>
    </xf>
    <xf numFmtId="3" fontId="4" fillId="3" borderId="17" xfId="2" applyNumberFormat="1" applyFont="1" applyFill="1" applyBorder="1" applyAlignment="1">
      <alignment horizontal="center" vertical="center"/>
    </xf>
    <xf numFmtId="3" fontId="4" fillId="0" borderId="18" xfId="2" applyNumberFormat="1" applyFont="1" applyFill="1" applyBorder="1" applyAlignment="1">
      <alignment horizontal="center" vertical="center"/>
    </xf>
    <xf numFmtId="3" fontId="4" fillId="0" borderId="17" xfId="2" applyNumberFormat="1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right" vertical="center" wrapText="1"/>
    </xf>
    <xf numFmtId="3" fontId="3" fillId="0" borderId="1" xfId="2" applyNumberFormat="1" applyFont="1" applyBorder="1" applyAlignment="1">
      <alignment horizontal="center" vertical="center"/>
    </xf>
    <xf numFmtId="3" fontId="3" fillId="0" borderId="14" xfId="2" applyNumberFormat="1" applyFont="1" applyBorder="1" applyAlignment="1">
      <alignment horizontal="center" vertical="center"/>
    </xf>
    <xf numFmtId="3" fontId="3" fillId="0" borderId="13" xfId="2" applyNumberFormat="1" applyFont="1" applyBorder="1" applyAlignment="1">
      <alignment horizontal="center" vertical="center"/>
    </xf>
    <xf numFmtId="3" fontId="4" fillId="3" borderId="13" xfId="2" applyNumberFormat="1" applyFont="1" applyFill="1" applyBorder="1" applyAlignment="1">
      <alignment horizontal="center" vertical="center"/>
    </xf>
    <xf numFmtId="3" fontId="4" fillId="0" borderId="13" xfId="2" applyNumberFormat="1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right" vertical="center" wrapText="1"/>
    </xf>
    <xf numFmtId="0" fontId="3" fillId="2" borderId="3" xfId="2" applyFont="1" applyFill="1" applyBorder="1" applyAlignment="1">
      <alignment horizontal="right" vertical="center" wrapText="1"/>
    </xf>
    <xf numFmtId="0" fontId="3" fillId="2" borderId="19" xfId="2" applyFont="1" applyFill="1" applyBorder="1" applyAlignment="1">
      <alignment horizontal="right" vertical="center" wrapText="1"/>
    </xf>
    <xf numFmtId="0" fontId="3" fillId="2" borderId="20" xfId="2" applyFont="1" applyFill="1" applyBorder="1" applyAlignment="1">
      <alignment horizontal="right" vertical="center" wrapText="1"/>
    </xf>
    <xf numFmtId="3" fontId="4" fillId="2" borderId="13" xfId="2" applyNumberFormat="1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right" vertical="center" wrapText="1"/>
    </xf>
    <xf numFmtId="0" fontId="3" fillId="2" borderId="23" xfId="2" applyFont="1" applyFill="1" applyBorder="1" applyAlignment="1">
      <alignment horizontal="right" vertical="center" wrapText="1"/>
    </xf>
    <xf numFmtId="0" fontId="3" fillId="2" borderId="24" xfId="2" applyFont="1" applyFill="1" applyBorder="1" applyAlignment="1">
      <alignment horizontal="right" vertical="center" wrapText="1"/>
    </xf>
    <xf numFmtId="3" fontId="6" fillId="2" borderId="17" xfId="2" applyNumberFormat="1" applyFont="1" applyFill="1" applyBorder="1" applyAlignment="1">
      <alignment horizontal="center" vertical="center"/>
    </xf>
    <xf numFmtId="3" fontId="6" fillId="2" borderId="18" xfId="2" applyNumberFormat="1" applyFont="1" applyFill="1" applyBorder="1" applyAlignment="1">
      <alignment horizontal="center" vertical="center"/>
    </xf>
    <xf numFmtId="3" fontId="8" fillId="2" borderId="17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right" vertical="center" wrapText="1" readingOrder="2"/>
    </xf>
    <xf numFmtId="0" fontId="10" fillId="4" borderId="0" xfId="2" applyFont="1" applyFill="1" applyBorder="1" applyAlignment="1">
      <alignment horizontal="right" vertical="center" wrapText="1" readingOrder="2"/>
    </xf>
    <xf numFmtId="3" fontId="10" fillId="4" borderId="0" xfId="2" applyNumberFormat="1" applyFont="1" applyFill="1" applyBorder="1" applyAlignment="1">
      <alignment horizontal="center" vertical="center" wrapText="1" readingOrder="2"/>
    </xf>
    <xf numFmtId="3" fontId="1" fillId="0" borderId="0" xfId="2" applyNumberFormat="1" applyFont="1" applyBorder="1" applyAlignment="1">
      <alignment horizontal="center"/>
    </xf>
    <xf numFmtId="3" fontId="1" fillId="0" borderId="22" xfId="2" applyNumberFormat="1" applyFont="1" applyBorder="1" applyAlignment="1">
      <alignment horizontal="center"/>
    </xf>
    <xf numFmtId="0" fontId="1" fillId="0" borderId="0" xfId="2" applyFont="1"/>
    <xf numFmtId="0" fontId="1" fillId="2" borderId="1" xfId="2" applyFont="1" applyFill="1" applyBorder="1" applyAlignment="1">
      <alignment horizontal="center" vertical="center" wrapText="1" readingOrder="1"/>
    </xf>
    <xf numFmtId="0" fontId="2" fillId="2" borderId="1" xfId="2" applyFont="1" applyFill="1" applyBorder="1" applyAlignment="1">
      <alignment horizontal="center" vertical="center"/>
    </xf>
    <xf numFmtId="3" fontId="1" fillId="2" borderId="1" xfId="2" applyNumberFormat="1" applyFont="1" applyFill="1" applyBorder="1" applyAlignment="1">
      <alignment horizontal="center" vertical="center" wrapText="1" readingOrder="1"/>
    </xf>
    <xf numFmtId="0" fontId="3" fillId="2" borderId="2" xfId="2" applyFont="1" applyFill="1" applyBorder="1" applyAlignment="1">
      <alignment horizontal="center" vertical="center" wrapText="1"/>
    </xf>
    <xf numFmtId="3" fontId="3" fillId="0" borderId="14" xfId="2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center" vertical="center"/>
    </xf>
    <xf numFmtId="9" fontId="6" fillId="2" borderId="2" xfId="3" applyFont="1" applyFill="1" applyBorder="1" applyAlignment="1">
      <alignment horizontal="center" vertical="center"/>
    </xf>
    <xf numFmtId="164" fontId="6" fillId="2" borderId="3" xfId="3" applyNumberFormat="1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right" vertical="center" wrapText="1" readingOrder="2"/>
    </xf>
    <xf numFmtId="166" fontId="14" fillId="0" borderId="0" xfId="1" applyNumberFormat="1" applyFont="1"/>
  </cellXfs>
  <cellStyles count="4">
    <cellStyle name="Comma 3" xfId="1"/>
    <cellStyle name="Normal" xfId="0" builtinId="0"/>
    <cellStyle name="Normal 2" xfId="2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3"/>
  <sheetViews>
    <sheetView rightToLeft="1" tabSelected="1" view="pageBreakPreview" zoomScale="50" zoomScaleNormal="60" zoomScaleSheetLayoutView="50" workbookViewId="0">
      <selection activeCell="M25" sqref="M25"/>
    </sheetView>
  </sheetViews>
  <sheetFormatPr defaultRowHeight="20.25" x14ac:dyDescent="0.3"/>
  <cols>
    <col min="1" max="1" width="18.140625" style="3" customWidth="1"/>
    <col min="2" max="2" width="27.7109375" style="3" customWidth="1"/>
    <col min="3" max="3" width="10.7109375" style="3" customWidth="1"/>
    <col min="4" max="4" width="98.7109375" style="3" customWidth="1"/>
    <col min="5" max="7" width="10.42578125" style="3" customWidth="1"/>
    <col min="8" max="16" width="12.42578125" style="3" customWidth="1"/>
    <col min="17" max="20" width="14" style="3" customWidth="1"/>
    <col min="21" max="21" width="15" style="3" customWidth="1"/>
    <col min="22" max="23" width="13.85546875" style="3" customWidth="1"/>
    <col min="24" max="24" width="12" style="3" customWidth="1"/>
    <col min="25" max="26" width="15" style="3" customWidth="1"/>
    <col min="27" max="27" width="13.85546875" style="3" customWidth="1"/>
    <col min="28" max="28" width="18" style="3" customWidth="1"/>
    <col min="29" max="29" width="16.140625" style="3" customWidth="1"/>
    <col min="30" max="30" width="17.5703125" style="3" bestFit="1" customWidth="1"/>
    <col min="31" max="31" width="9.140625" style="3"/>
    <col min="32" max="32" width="38" style="3" bestFit="1" customWidth="1"/>
    <col min="33" max="16384" width="9.140625" style="3"/>
  </cols>
  <sheetData>
    <row r="1" spans="1:30" ht="42" customHeight="1" x14ac:dyDescent="0.3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32.25" x14ac:dyDescent="0.3">
      <c r="A2" s="4" t="s">
        <v>0</v>
      </c>
      <c r="B2" s="5"/>
      <c r="C2" s="6"/>
      <c r="D2" s="7"/>
      <c r="E2" s="8">
        <v>1380</v>
      </c>
      <c r="F2" s="8">
        <v>1381</v>
      </c>
      <c r="G2" s="8">
        <v>1382</v>
      </c>
      <c r="H2" s="8">
        <v>1383</v>
      </c>
      <c r="I2" s="8">
        <v>1384</v>
      </c>
      <c r="J2" s="8">
        <v>1385</v>
      </c>
      <c r="K2" s="8">
        <v>1386</v>
      </c>
      <c r="L2" s="8">
        <v>1387</v>
      </c>
      <c r="M2" s="8">
        <v>1388</v>
      </c>
      <c r="N2" s="8">
        <v>1389</v>
      </c>
      <c r="O2" s="8">
        <v>1390</v>
      </c>
      <c r="P2" s="8">
        <v>1391</v>
      </c>
      <c r="Q2" s="8">
        <v>1392</v>
      </c>
      <c r="R2" s="8">
        <v>1393</v>
      </c>
      <c r="S2" s="8">
        <v>1394</v>
      </c>
      <c r="T2" s="8">
        <v>1395</v>
      </c>
      <c r="U2" s="8">
        <v>1396</v>
      </c>
      <c r="V2" s="8">
        <v>1397</v>
      </c>
      <c r="W2" s="8">
        <v>1398</v>
      </c>
      <c r="X2" s="8">
        <v>1399</v>
      </c>
      <c r="Y2" s="8">
        <v>1400</v>
      </c>
      <c r="Z2" s="8">
        <v>1401</v>
      </c>
      <c r="AA2" s="8">
        <v>1402</v>
      </c>
      <c r="AB2" s="8">
        <v>1403</v>
      </c>
      <c r="AC2" s="8">
        <v>1404</v>
      </c>
      <c r="AD2" s="9" t="s">
        <v>1</v>
      </c>
    </row>
    <row r="3" spans="1:30" ht="30.75" customHeight="1" x14ac:dyDescent="0.3">
      <c r="A3" s="10" t="s">
        <v>2</v>
      </c>
      <c r="B3" s="11" t="s">
        <v>3</v>
      </c>
      <c r="C3" s="11"/>
      <c r="D3" s="11"/>
      <c r="E3" s="12">
        <v>1200</v>
      </c>
      <c r="F3" s="12">
        <v>6000</v>
      </c>
      <c r="G3" s="12">
        <v>7000</v>
      </c>
      <c r="H3" s="12">
        <v>11000</v>
      </c>
      <c r="I3" s="12">
        <v>5000</v>
      </c>
      <c r="J3" s="12">
        <v>7400</v>
      </c>
      <c r="K3" s="12">
        <v>30000</v>
      </c>
      <c r="L3" s="12">
        <v>30000</v>
      </c>
      <c r="M3" s="12">
        <v>32100</v>
      </c>
      <c r="N3" s="12">
        <v>45000</v>
      </c>
      <c r="O3" s="12">
        <v>45000</v>
      </c>
      <c r="P3" s="13">
        <v>65000</v>
      </c>
      <c r="Q3" s="14">
        <v>62000</v>
      </c>
      <c r="R3" s="14">
        <v>77000</v>
      </c>
      <c r="S3" s="14">
        <v>145000</v>
      </c>
      <c r="T3" s="14">
        <v>115000</v>
      </c>
      <c r="U3" s="14">
        <v>79000</v>
      </c>
      <c r="V3" s="14">
        <v>48800</v>
      </c>
      <c r="W3" s="14">
        <v>34800</v>
      </c>
      <c r="X3" s="14">
        <v>41871</v>
      </c>
      <c r="Y3" s="14">
        <v>47000</v>
      </c>
      <c r="Z3" s="14">
        <v>708000</v>
      </c>
      <c r="AA3" s="14">
        <v>1058000</v>
      </c>
      <c r="AB3" s="14">
        <v>598500</v>
      </c>
      <c r="AC3" s="15">
        <v>1350000</v>
      </c>
      <c r="AD3" s="14">
        <f>SUM(E3:AC3)</f>
        <v>4649671</v>
      </c>
    </row>
    <row r="4" spans="1:30" ht="34.5" hidden="1" customHeight="1" x14ac:dyDescent="0.3">
      <c r="A4" s="10"/>
      <c r="B4" s="16" t="s">
        <v>28</v>
      </c>
      <c r="C4" s="17"/>
      <c r="D4" s="18"/>
      <c r="E4" s="19" t="s">
        <v>29</v>
      </c>
      <c r="F4" s="20" t="s">
        <v>30</v>
      </c>
      <c r="G4" s="20" t="s">
        <v>30</v>
      </c>
      <c r="H4" s="20" t="s">
        <v>30</v>
      </c>
      <c r="I4" s="20" t="s">
        <v>30</v>
      </c>
      <c r="J4" s="20" t="s">
        <v>30</v>
      </c>
      <c r="K4" s="20" t="s">
        <v>30</v>
      </c>
      <c r="L4" s="20" t="s">
        <v>30</v>
      </c>
      <c r="M4" s="20" t="s">
        <v>30</v>
      </c>
      <c r="N4" s="20" t="s">
        <v>30</v>
      </c>
      <c r="O4" s="13">
        <f>10205034703700/1000000000</f>
        <v>10205.034703699999</v>
      </c>
      <c r="P4" s="13">
        <f>5205395864216/1000000000</f>
        <v>5205.3958642159996</v>
      </c>
      <c r="Q4" s="14">
        <f>39009797972432/1000000000</f>
        <v>39009.797972432003</v>
      </c>
      <c r="R4" s="14">
        <f>(79771945350180)/1000000000</f>
        <v>79771.945350180002</v>
      </c>
      <c r="S4" s="14">
        <f>(46395730766217.2)/1000000000</f>
        <v>46395.730766217202</v>
      </c>
      <c r="T4" s="14">
        <f>(41479992123821.2)/1000000000</f>
        <v>41479.992123821205</v>
      </c>
      <c r="U4" s="21">
        <f>(28932402453869)/1000000000</f>
        <v>28932.402453868999</v>
      </c>
      <c r="V4" s="21">
        <f>(37682644871102.1)/1000000000</f>
        <v>37682.6448711021</v>
      </c>
      <c r="W4" s="21">
        <f>(40352677504160)/1000000000</f>
        <v>40352.677504159998</v>
      </c>
      <c r="X4" s="21">
        <f>(13493747669859)/1000000000</f>
        <v>13493.747669859</v>
      </c>
      <c r="Y4" s="21">
        <f>(13493747669859)/1000000000</f>
        <v>13493.747669859</v>
      </c>
      <c r="Z4" s="13"/>
      <c r="AA4" s="13"/>
      <c r="AB4" s="13"/>
      <c r="AC4" s="22"/>
      <c r="AD4" s="14"/>
    </row>
    <row r="5" spans="1:30" ht="31.5" hidden="1" customHeight="1" x14ac:dyDescent="0.3">
      <c r="A5" s="10"/>
      <c r="B5" s="23"/>
      <c r="C5" s="24"/>
      <c r="D5" s="25"/>
      <c r="E5" s="20"/>
      <c r="F5" s="20" t="s">
        <v>30</v>
      </c>
      <c r="G5" s="20" t="s">
        <v>30</v>
      </c>
      <c r="H5" s="20" t="s">
        <v>30</v>
      </c>
      <c r="I5" s="20" t="s">
        <v>30</v>
      </c>
      <c r="J5" s="20" t="s">
        <v>30</v>
      </c>
      <c r="K5" s="20" t="s">
        <v>30</v>
      </c>
      <c r="L5" s="20" t="s">
        <v>30</v>
      </c>
      <c r="M5" s="20" t="s">
        <v>30</v>
      </c>
      <c r="N5" s="20" t="s">
        <v>30</v>
      </c>
      <c r="O5" s="13">
        <f>936868721642/1000000000</f>
        <v>936.86872164199997</v>
      </c>
      <c r="P5" s="13">
        <f>0/1000000000</f>
        <v>0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5"/>
      <c r="AD5" s="14"/>
    </row>
    <row r="6" spans="1:30" ht="46.5" hidden="1" customHeight="1" x14ac:dyDescent="0.3">
      <c r="A6" s="10"/>
      <c r="B6" s="23"/>
      <c r="C6" s="24"/>
      <c r="D6" s="25"/>
      <c r="E6" s="20"/>
      <c r="F6" s="20" t="s">
        <v>30</v>
      </c>
      <c r="G6" s="20" t="s">
        <v>30</v>
      </c>
      <c r="H6" s="20" t="s">
        <v>30</v>
      </c>
      <c r="I6" s="20" t="s">
        <v>30</v>
      </c>
      <c r="J6" s="20" t="s">
        <v>30</v>
      </c>
      <c r="K6" s="20" t="s">
        <v>30</v>
      </c>
      <c r="L6" s="20" t="s">
        <v>30</v>
      </c>
      <c r="M6" s="20" t="s">
        <v>30</v>
      </c>
      <c r="N6" s="20" t="s">
        <v>30</v>
      </c>
      <c r="O6" s="13">
        <f>23362144159851/1000000000</f>
        <v>23362.144159850999</v>
      </c>
      <c r="P6" s="13">
        <f>22057734945576/1000000000</f>
        <v>22057.734945576001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5"/>
      <c r="AD6" s="14"/>
    </row>
    <row r="7" spans="1:30" ht="34.5" hidden="1" customHeight="1" x14ac:dyDescent="0.3">
      <c r="A7" s="10"/>
      <c r="B7" s="23"/>
      <c r="C7" s="24"/>
      <c r="D7" s="25"/>
      <c r="E7" s="20" t="s">
        <v>31</v>
      </c>
      <c r="F7" s="20" t="s">
        <v>30</v>
      </c>
      <c r="G7" s="20" t="s">
        <v>30</v>
      </c>
      <c r="H7" s="20" t="s">
        <v>30</v>
      </c>
      <c r="I7" s="20" t="s">
        <v>30</v>
      </c>
      <c r="J7" s="20" t="s">
        <v>30</v>
      </c>
      <c r="K7" s="20">
        <v>0</v>
      </c>
      <c r="L7" s="20">
        <v>230</v>
      </c>
      <c r="M7" s="20">
        <v>3010.55</v>
      </c>
      <c r="N7" s="20">
        <v>4408.7100093629997</v>
      </c>
      <c r="O7" s="14">
        <v>16372.909795464</v>
      </c>
      <c r="P7" s="14">
        <v>24233.311117681998</v>
      </c>
      <c r="Q7" s="14">
        <v>42548.011330884998</v>
      </c>
      <c r="R7" s="14">
        <v>37058.615014636998</v>
      </c>
      <c r="S7" s="14">
        <v>45482.142869604999</v>
      </c>
      <c r="T7" s="14">
        <v>32636.493288500998</v>
      </c>
      <c r="U7" s="21">
        <f>(11792299513617)/1000000000</f>
        <v>11792.299513616999</v>
      </c>
      <c r="V7" s="21">
        <f>(9752790300000)/1000000000</f>
        <v>9752.7903000000006</v>
      </c>
      <c r="W7" s="21">
        <f>(2571950072687)/1000000000</f>
        <v>2571.9500726870001</v>
      </c>
      <c r="X7" s="21"/>
      <c r="Y7" s="21"/>
      <c r="Z7" s="13"/>
      <c r="AA7" s="13"/>
      <c r="AB7" s="14"/>
      <c r="AC7" s="15"/>
      <c r="AD7" s="14"/>
    </row>
    <row r="8" spans="1:30" ht="33.75" customHeight="1" x14ac:dyDescent="0.3">
      <c r="A8" s="10"/>
      <c r="B8" s="26"/>
      <c r="C8" s="27"/>
      <c r="D8" s="28"/>
      <c r="E8" s="12">
        <v>93.6</v>
      </c>
      <c r="F8" s="12">
        <v>1012.764</v>
      </c>
      <c r="G8" s="12">
        <v>2470.7170000000001</v>
      </c>
      <c r="H8" s="12">
        <v>2813.0540000000001</v>
      </c>
      <c r="I8" s="12">
        <v>1537.241</v>
      </c>
      <c r="J8" s="12">
        <v>1636.2929999999999</v>
      </c>
      <c r="K8" s="12">
        <v>6288.3720000000003</v>
      </c>
      <c r="L8" s="12">
        <v>15014.574000000001</v>
      </c>
      <c r="M8" s="12">
        <v>19496.367999999999</v>
      </c>
      <c r="N8" s="12">
        <v>38116</v>
      </c>
      <c r="O8" s="12">
        <v>53596</v>
      </c>
      <c r="P8" s="13">
        <f xml:space="preserve"> P6+P4+P7</f>
        <v>51496.441927473999</v>
      </c>
      <c r="Q8" s="14">
        <f xml:space="preserve"> Q6+Q4+Q7+Q5</f>
        <v>81557.809303317001</v>
      </c>
      <c r="R8" s="14">
        <f t="shared" ref="R8:V8" si="0">R7+R4</f>
        <v>116830.56036481701</v>
      </c>
      <c r="S8" s="14">
        <f t="shared" si="0"/>
        <v>91877.873635822209</v>
      </c>
      <c r="T8" s="14">
        <f t="shared" si="0"/>
        <v>74116.485412322203</v>
      </c>
      <c r="U8" s="14">
        <f t="shared" si="0"/>
        <v>40724.701967485998</v>
      </c>
      <c r="V8" s="14">
        <f t="shared" si="0"/>
        <v>47435.435171102101</v>
      </c>
      <c r="W8" s="14">
        <f>W7+W4</f>
        <v>42924.627576847</v>
      </c>
      <c r="X8" s="14">
        <v>30028.368611687547</v>
      </c>
      <c r="Y8" s="14">
        <v>17579</v>
      </c>
      <c r="Z8" s="14">
        <v>329683.14</v>
      </c>
      <c r="AA8" s="14">
        <v>273604.65516831097</v>
      </c>
      <c r="AB8" s="14">
        <v>329556.7790605044</v>
      </c>
      <c r="AC8" s="15">
        <v>132960.27892787321</v>
      </c>
      <c r="AD8" s="14">
        <f>SUM(E8:AC8)</f>
        <v>1802451.1401275634</v>
      </c>
    </row>
    <row r="9" spans="1:30" ht="33.75" customHeight="1" thickBot="1" x14ac:dyDescent="0.35">
      <c r="A9" s="10"/>
      <c r="B9" s="29" t="s">
        <v>4</v>
      </c>
      <c r="C9" s="30"/>
      <c r="D9" s="31"/>
      <c r="E9" s="32">
        <f t="shared" ref="E9:N9" si="1">E8/E3</f>
        <v>7.8E-2</v>
      </c>
      <c r="F9" s="32">
        <f t="shared" si="1"/>
        <v>0.168794</v>
      </c>
      <c r="G9" s="32">
        <f t="shared" si="1"/>
        <v>0.35295957142857143</v>
      </c>
      <c r="H9" s="32">
        <f t="shared" si="1"/>
        <v>0.2557321818181818</v>
      </c>
      <c r="I9" s="32">
        <f t="shared" si="1"/>
        <v>0.3074482</v>
      </c>
      <c r="J9" s="32">
        <f t="shared" si="1"/>
        <v>0.22112067567567567</v>
      </c>
      <c r="K9" s="32">
        <f t="shared" si="1"/>
        <v>0.2096124</v>
      </c>
      <c r="L9" s="32">
        <f t="shared" si="1"/>
        <v>0.50048579999999998</v>
      </c>
      <c r="M9" s="32">
        <f t="shared" si="1"/>
        <v>0.60736348909657312</v>
      </c>
      <c r="N9" s="32">
        <f t="shared" si="1"/>
        <v>0.84702222222222223</v>
      </c>
      <c r="O9" s="32">
        <v>1.19</v>
      </c>
      <c r="P9" s="32">
        <f t="shared" ref="P9:U9" si="2">P8/P3</f>
        <v>0.79225295273036922</v>
      </c>
      <c r="Q9" s="32">
        <f t="shared" si="2"/>
        <v>1.3154485371502742</v>
      </c>
      <c r="R9" s="32">
        <f t="shared" si="2"/>
        <v>1.5172800047378832</v>
      </c>
      <c r="S9" s="32">
        <f t="shared" si="2"/>
        <v>0.63364050783325665</v>
      </c>
      <c r="T9" s="32">
        <f t="shared" si="2"/>
        <v>0.64449117749845397</v>
      </c>
      <c r="U9" s="32">
        <f t="shared" si="2"/>
        <v>0.51550255655045563</v>
      </c>
      <c r="V9" s="32">
        <f>V8/V3</f>
        <v>0.97203760596520694</v>
      </c>
      <c r="W9" s="32">
        <f>W8/W3</f>
        <v>1.2334663096795115</v>
      </c>
      <c r="X9" s="32">
        <f>X8/X3</f>
        <v>0.71716387503731815</v>
      </c>
      <c r="Y9" s="32">
        <f>Y8/Y3</f>
        <v>0.37402127659574469</v>
      </c>
      <c r="Z9" s="32">
        <f t="shared" ref="Z9:AA9" si="3">Z8/Z3</f>
        <v>0.46565415254237291</v>
      </c>
      <c r="AA9" s="32">
        <f t="shared" si="3"/>
        <v>0.2586055341855491</v>
      </c>
      <c r="AB9" s="32">
        <f>AB8/AB3</f>
        <v>0.55063789316709177</v>
      </c>
      <c r="AC9" s="33">
        <f>AC8/AC3</f>
        <v>9.8489095502128296E-2</v>
      </c>
      <c r="AD9" s="34">
        <f>AD8/AD3</f>
        <v>0.38765132847626499</v>
      </c>
    </row>
    <row r="10" spans="1:30" ht="57" customHeight="1" x14ac:dyDescent="0.3">
      <c r="A10" s="10"/>
      <c r="B10" s="11" t="s">
        <v>5</v>
      </c>
      <c r="C10" s="11"/>
      <c r="D10" s="11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15">
        <v>800000</v>
      </c>
      <c r="AD10" s="14">
        <f>SUM(E10:AC10)</f>
        <v>800000</v>
      </c>
    </row>
    <row r="11" spans="1:30" ht="31.5" customHeight="1" x14ac:dyDescent="0.3">
      <c r="A11" s="10"/>
      <c r="B11" s="11" t="s">
        <v>6</v>
      </c>
      <c r="C11" s="11"/>
      <c r="D11" s="11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9"/>
      <c r="Q11" s="13"/>
      <c r="R11" s="13"/>
      <c r="S11" s="21"/>
      <c r="T11" s="21"/>
      <c r="U11" s="21"/>
      <c r="V11" s="21"/>
      <c r="W11" s="21"/>
      <c r="X11" s="21"/>
      <c r="Y11" s="21"/>
      <c r="Z11" s="13"/>
      <c r="AA11" s="21"/>
      <c r="AB11" s="14"/>
      <c r="AC11" s="15">
        <v>95125.531747901186</v>
      </c>
      <c r="AD11" s="14">
        <f>SUM(E11:AC11)</f>
        <v>95125.531747901186</v>
      </c>
    </row>
    <row r="12" spans="1:30" ht="31.5" customHeight="1" thickBot="1" x14ac:dyDescent="0.35">
      <c r="A12" s="10"/>
      <c r="B12" s="40" t="s">
        <v>7</v>
      </c>
      <c r="C12" s="41"/>
      <c r="D12" s="42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33"/>
      <c r="AB12" s="33"/>
      <c r="AC12" s="44">
        <f>AC11/AC10</f>
        <v>0.11890691468487648</v>
      </c>
      <c r="AD12" s="45">
        <v>0</v>
      </c>
    </row>
    <row r="13" spans="1:30" ht="53.25" customHeight="1" x14ac:dyDescent="0.3">
      <c r="A13" s="10"/>
      <c r="B13" s="46" t="s">
        <v>8</v>
      </c>
      <c r="C13" s="47"/>
      <c r="D13" s="48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6"/>
      <c r="Q13" s="37">
        <v>250000</v>
      </c>
      <c r="R13" s="37">
        <v>104000</v>
      </c>
      <c r="S13" s="37">
        <v>30000</v>
      </c>
      <c r="T13" s="37">
        <v>45000</v>
      </c>
      <c r="U13" s="37">
        <v>22000</v>
      </c>
      <c r="V13" s="37">
        <v>18200</v>
      </c>
      <c r="W13" s="37">
        <v>6950</v>
      </c>
      <c r="X13" s="37">
        <v>67000</v>
      </c>
      <c r="Y13" s="37">
        <v>900000</v>
      </c>
      <c r="Z13" s="37"/>
      <c r="AA13" s="37"/>
      <c r="AB13" s="37"/>
      <c r="AC13" s="49"/>
      <c r="AD13" s="14">
        <f>SUM(E13:AC13)</f>
        <v>1443150</v>
      </c>
    </row>
    <row r="14" spans="1:30" ht="31.5" customHeight="1" x14ac:dyDescent="0.3">
      <c r="A14" s="10"/>
      <c r="B14" s="16" t="s">
        <v>9</v>
      </c>
      <c r="C14" s="17"/>
      <c r="D14" s="1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9"/>
      <c r="Q14" s="13">
        <f>(32763870973694)/1000000000</f>
        <v>32763.870973694</v>
      </c>
      <c r="R14" s="13">
        <f>(7168951620174)/1000000000</f>
        <v>7168.9516201739998</v>
      </c>
      <c r="S14" s="21">
        <v>2537</v>
      </c>
      <c r="T14" s="21">
        <f>(396729933698400%)/1000000000</f>
        <v>3967.2993369840001</v>
      </c>
      <c r="U14" s="21">
        <f>(606412391176)/1000000000</f>
        <v>606.41239117600003</v>
      </c>
      <c r="V14" s="21">
        <f>(666119093379)/1000000000</f>
        <v>666.11909337899999</v>
      </c>
      <c r="W14" s="21">
        <f>(16458612294845)/1000000000</f>
        <v>16458.612294844999</v>
      </c>
      <c r="X14" s="21">
        <v>234633.07717637281</v>
      </c>
      <c r="Y14" s="21"/>
      <c r="Z14" s="13"/>
      <c r="AA14" s="13"/>
      <c r="AB14" s="13"/>
      <c r="AC14" s="15"/>
      <c r="AD14" s="14">
        <f>SUM(E14:AC14)</f>
        <v>298801.3428866248</v>
      </c>
    </row>
    <row r="15" spans="1:30" ht="31.5" customHeight="1" thickBot="1" x14ac:dyDescent="0.35">
      <c r="A15" s="10"/>
      <c r="B15" s="40" t="s">
        <v>10</v>
      </c>
      <c r="C15" s="41"/>
      <c r="D15" s="42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32">
        <f>Q14/Q13</f>
        <v>0.131055483894776</v>
      </c>
      <c r="R15" s="32">
        <f>R14/R13</f>
        <v>6.8932227117057696E-2</v>
      </c>
      <c r="S15" s="32">
        <f>S14/S13</f>
        <v>8.4566666666666665E-2</v>
      </c>
      <c r="T15" s="32">
        <f>T14/T13</f>
        <v>8.8162207488533331E-2</v>
      </c>
      <c r="U15" s="32">
        <f>U14/U13</f>
        <v>2.7564199598909093E-2</v>
      </c>
      <c r="V15" s="32">
        <v>0.04</v>
      </c>
      <c r="W15" s="32">
        <f>W14/W13</f>
        <v>2.3681456539345325</v>
      </c>
      <c r="X15" s="32">
        <f>X14/X13</f>
        <v>3.501986226513027</v>
      </c>
      <c r="Y15" s="43"/>
      <c r="Z15" s="43"/>
      <c r="AA15" s="43"/>
      <c r="AB15" s="43"/>
      <c r="AC15" s="50"/>
      <c r="AD15" s="34">
        <f>AD14/AD13</f>
        <v>0.20704801502728393</v>
      </c>
    </row>
    <row r="16" spans="1:30" ht="56.25" customHeight="1" x14ac:dyDescent="0.3">
      <c r="A16" s="10"/>
      <c r="B16" s="16" t="s">
        <v>11</v>
      </c>
      <c r="C16" s="17"/>
      <c r="D16" s="18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2">
        <v>5000</v>
      </c>
      <c r="T16" s="52">
        <v>5000</v>
      </c>
      <c r="U16" s="52">
        <v>3500</v>
      </c>
      <c r="V16" s="52">
        <v>3500</v>
      </c>
      <c r="W16" s="52">
        <v>4000</v>
      </c>
      <c r="X16" s="52">
        <v>4000</v>
      </c>
      <c r="Y16" s="52"/>
      <c r="Z16" s="37">
        <v>2000</v>
      </c>
      <c r="AA16" s="51"/>
      <c r="AB16" s="53"/>
      <c r="AC16" s="54"/>
      <c r="AD16" s="14">
        <f>SUM(E16:AC16)</f>
        <v>27000</v>
      </c>
    </row>
    <row r="17" spans="1:30" ht="33.75" customHeight="1" x14ac:dyDescent="0.3">
      <c r="A17" s="10"/>
      <c r="B17" s="16" t="s">
        <v>12</v>
      </c>
      <c r="C17" s="17"/>
      <c r="D17" s="18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35"/>
      <c r="Q17" s="35"/>
      <c r="R17" s="35"/>
      <c r="S17" s="56">
        <v>5000</v>
      </c>
      <c r="T17" s="56">
        <f>(50362397612)/1000000000</f>
        <v>50.362397612000002</v>
      </c>
      <c r="U17" s="56">
        <v>3</v>
      </c>
      <c r="V17" s="56">
        <v>343.56242771900003</v>
      </c>
      <c r="W17" s="56">
        <f>(648116138154)/1000000000</f>
        <v>648.11613815400005</v>
      </c>
      <c r="X17" s="56">
        <v>84560.388845741443</v>
      </c>
      <c r="Y17" s="56"/>
      <c r="Z17" s="57"/>
      <c r="AA17" s="57"/>
      <c r="AB17" s="57"/>
      <c r="AC17" s="58"/>
      <c r="AD17" s="14">
        <f>SUM(E17:AC17)</f>
        <v>90605.429809226451</v>
      </c>
    </row>
    <row r="18" spans="1:30" ht="33.75" customHeight="1" thickBot="1" x14ac:dyDescent="0.35">
      <c r="A18" s="10"/>
      <c r="B18" s="40" t="s">
        <v>13</v>
      </c>
      <c r="C18" s="41"/>
      <c r="D18" s="42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32">
        <f t="shared" ref="S18:W18" si="4">S17/S16</f>
        <v>1</v>
      </c>
      <c r="T18" s="32">
        <f t="shared" si="4"/>
        <v>1.00724795224E-2</v>
      </c>
      <c r="U18" s="32">
        <f t="shared" si="4"/>
        <v>8.571428571428571E-4</v>
      </c>
      <c r="V18" s="32">
        <f t="shared" si="4"/>
        <v>9.8160693634000012E-2</v>
      </c>
      <c r="W18" s="32">
        <f t="shared" si="4"/>
        <v>0.16202903453850001</v>
      </c>
      <c r="X18" s="32">
        <f>X17/X16</f>
        <v>21.140097211435361</v>
      </c>
      <c r="Y18" s="43"/>
      <c r="Z18" s="43"/>
      <c r="AA18" s="43"/>
      <c r="AB18" s="43"/>
      <c r="AC18" s="50"/>
      <c r="AD18" s="34">
        <f>AD17/AD16</f>
        <v>3.3557566596009796</v>
      </c>
    </row>
    <row r="19" spans="1:30" ht="51.75" customHeight="1" x14ac:dyDescent="0.3">
      <c r="A19" s="10"/>
      <c r="B19" s="16" t="s">
        <v>14</v>
      </c>
      <c r="C19" s="17"/>
      <c r="D19" s="18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60">
        <v>1000</v>
      </c>
      <c r="T19" s="61">
        <v>500</v>
      </c>
      <c r="U19" s="61">
        <v>500</v>
      </c>
      <c r="V19" s="61">
        <v>500</v>
      </c>
      <c r="W19" s="61">
        <v>5000</v>
      </c>
      <c r="X19" s="62">
        <v>2000</v>
      </c>
      <c r="Y19" s="37">
        <v>2000</v>
      </c>
      <c r="Z19" s="37">
        <v>2000</v>
      </c>
      <c r="AA19" s="37">
        <v>1500</v>
      </c>
      <c r="AB19" s="37">
        <v>1500</v>
      </c>
      <c r="AC19" s="49">
        <v>1500</v>
      </c>
      <c r="AD19" s="37">
        <f>SUM(E19:AC19)</f>
        <v>18000</v>
      </c>
    </row>
    <row r="20" spans="1:30" ht="33.75" customHeight="1" x14ac:dyDescent="0.3">
      <c r="A20" s="10"/>
      <c r="B20" s="16" t="s">
        <v>15</v>
      </c>
      <c r="C20" s="17"/>
      <c r="D20" s="18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35"/>
      <c r="Q20" s="35"/>
      <c r="R20" s="35"/>
      <c r="S20" s="56">
        <f>(46587238042)/1000000000</f>
        <v>46.587238042000003</v>
      </c>
      <c r="T20" s="56">
        <f>(266181710038)/1000000000</f>
        <v>266.18171003800001</v>
      </c>
      <c r="U20" s="56">
        <f>(117791830820)/1000000000</f>
        <v>117.79183082</v>
      </c>
      <c r="V20" s="56">
        <f>(1796915776075.48)/1000000000</f>
        <v>1796.9157760754799</v>
      </c>
      <c r="W20" s="56">
        <f>(593406734348)/1000000000</f>
        <v>593.40673434799999</v>
      </c>
      <c r="X20" s="56">
        <v>856.33164188299997</v>
      </c>
      <c r="Y20" s="56">
        <v>798</v>
      </c>
      <c r="Z20" s="56">
        <v>256.60000000000002</v>
      </c>
      <c r="AA20" s="56">
        <v>260.58061389599999</v>
      </c>
      <c r="AB20" s="14">
        <v>102.7785289</v>
      </c>
      <c r="AC20" s="15">
        <v>1297.656667879</v>
      </c>
      <c r="AD20" s="14">
        <f>SUM(E20:AC20)</f>
        <v>6392.8307418814802</v>
      </c>
    </row>
    <row r="21" spans="1:30" ht="33.75" customHeight="1" thickBot="1" x14ac:dyDescent="0.35">
      <c r="A21" s="10"/>
      <c r="B21" s="40" t="s">
        <v>16</v>
      </c>
      <c r="C21" s="41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32">
        <f>(S20/S19)</f>
        <v>4.6587238042000004E-2</v>
      </c>
      <c r="T21" s="32">
        <f>(T20/T19)</f>
        <v>0.53236342007600002</v>
      </c>
      <c r="U21" s="32">
        <f>(U20/U19)</f>
        <v>0.23558366164</v>
      </c>
      <c r="V21" s="32">
        <f>V20/V19</f>
        <v>3.5938315521509598</v>
      </c>
      <c r="W21" s="32">
        <v>0.1</v>
      </c>
      <c r="X21" s="32">
        <v>0.1</v>
      </c>
      <c r="Y21" s="32">
        <f>Y20/Y19</f>
        <v>0.39900000000000002</v>
      </c>
      <c r="Z21" s="32">
        <f>Z20/Z19</f>
        <v>0.12830000000000003</v>
      </c>
      <c r="AA21" s="32">
        <f>AA20/AA19</f>
        <v>0.17372040926399998</v>
      </c>
      <c r="AB21" s="32">
        <v>0.82222823119999999</v>
      </c>
      <c r="AC21" s="44">
        <f>AC20/AC19</f>
        <v>0.86510444525266661</v>
      </c>
      <c r="AD21" s="34">
        <f>AD20/AD19</f>
        <v>0.35515726343786003</v>
      </c>
    </row>
    <row r="22" spans="1:30" ht="33.75" customHeight="1" x14ac:dyDescent="0.3">
      <c r="A22" s="10"/>
      <c r="B22" s="16" t="s">
        <v>17</v>
      </c>
      <c r="C22" s="17"/>
      <c r="D22" s="18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60"/>
      <c r="T22" s="61"/>
      <c r="U22" s="61"/>
      <c r="V22" s="61"/>
      <c r="W22" s="61"/>
      <c r="X22" s="63">
        <v>5000</v>
      </c>
      <c r="Y22" s="63">
        <v>10000</v>
      </c>
      <c r="Z22" s="37"/>
      <c r="AA22" s="37">
        <v>500</v>
      </c>
      <c r="AB22" s="37">
        <v>0</v>
      </c>
      <c r="AC22" s="49"/>
      <c r="AD22" s="37">
        <f>SUM(E22:AC22)</f>
        <v>15500</v>
      </c>
    </row>
    <row r="23" spans="1:30" ht="33.75" customHeight="1" x14ac:dyDescent="0.3">
      <c r="A23" s="10"/>
      <c r="B23" s="16" t="s">
        <v>18</v>
      </c>
      <c r="C23" s="17"/>
      <c r="D23" s="18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35"/>
      <c r="Q23" s="35"/>
      <c r="R23" s="35"/>
      <c r="S23" s="56"/>
      <c r="T23" s="56"/>
      <c r="U23" s="56"/>
      <c r="V23" s="56"/>
      <c r="W23" s="56"/>
      <c r="X23" s="56"/>
      <c r="Y23" s="56"/>
      <c r="Z23" s="57"/>
      <c r="AA23" s="57">
        <v>0</v>
      </c>
      <c r="AB23" s="57"/>
      <c r="AC23" s="58"/>
      <c r="AD23" s="14">
        <f>SUM(E23:AC23)</f>
        <v>0</v>
      </c>
    </row>
    <row r="24" spans="1:30" ht="33.75" customHeight="1" thickBot="1" x14ac:dyDescent="0.35">
      <c r="A24" s="10"/>
      <c r="B24" s="40" t="s">
        <v>19</v>
      </c>
      <c r="C24" s="41"/>
      <c r="D24" s="42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>
        <v>0</v>
      </c>
      <c r="AB24" s="43"/>
      <c r="AC24" s="50"/>
      <c r="AD24" s="64">
        <f>AD23/AD22</f>
        <v>0</v>
      </c>
    </row>
    <row r="25" spans="1:30" ht="53.25" customHeight="1" thickBot="1" x14ac:dyDescent="0.35">
      <c r="A25" s="10"/>
      <c r="B25" s="40" t="s">
        <v>20</v>
      </c>
      <c r="C25" s="41"/>
      <c r="D25" s="42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60"/>
      <c r="T25" s="65">
        <f>(1247490075920)/1000000000</f>
        <v>1247.49007592</v>
      </c>
      <c r="U25" s="66">
        <v>325.39999999999998</v>
      </c>
      <c r="V25" s="66">
        <v>1324.428451322</v>
      </c>
      <c r="W25" s="66">
        <f>(266588778113)/1000000000</f>
        <v>266.58877811299999</v>
      </c>
      <c r="X25" s="66">
        <v>1029.56388599</v>
      </c>
      <c r="Y25" s="66"/>
      <c r="Z25" s="66"/>
      <c r="AA25" s="66"/>
      <c r="AB25" s="66"/>
      <c r="AC25" s="67"/>
      <c r="AD25" s="68">
        <f>SUM(E25:AC25)</f>
        <v>4193.4711913450001</v>
      </c>
    </row>
    <row r="26" spans="1:30" ht="60.75" customHeight="1" thickBot="1" x14ac:dyDescent="0.35">
      <c r="A26" s="10"/>
      <c r="B26" s="69" t="s">
        <v>21</v>
      </c>
      <c r="C26" s="70"/>
      <c r="D26" s="71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3">
        <v>1654</v>
      </c>
      <c r="P26" s="73">
        <f>(1002770742416+528483293360+144777681243)/1000000000</f>
        <v>1676.0317170190001</v>
      </c>
      <c r="Q26" s="73">
        <f>(16248417109225+87681910942+1440293936490)/1000000000</f>
        <v>17776.392956657</v>
      </c>
      <c r="R26" s="73">
        <f>(9402326308283+19953138620)/1000000000</f>
        <v>9422.2794469029996</v>
      </c>
      <c r="S26" s="74">
        <f>(5781709216479+5452844978)/1000000000</f>
        <v>5787.1620614570002</v>
      </c>
      <c r="T26" s="68">
        <f>(4339129167164.57)/1000000000</f>
        <v>4339.1291671645695</v>
      </c>
      <c r="U26" s="75">
        <f>(6822617351496.91)/1000000000</f>
        <v>6822.6173514969105</v>
      </c>
      <c r="V26" s="75">
        <f>(68009053845)/1000000000</f>
        <v>68.009053844999997</v>
      </c>
      <c r="W26" s="76"/>
      <c r="X26" s="76"/>
      <c r="Y26" s="76"/>
      <c r="Z26" s="77"/>
      <c r="AA26" s="77"/>
      <c r="AB26" s="77"/>
      <c r="AC26" s="78"/>
      <c r="AD26" s="79">
        <f>SUM(E26:AC26)</f>
        <v>47545.621754542481</v>
      </c>
    </row>
    <row r="27" spans="1:30" ht="45.75" hidden="1" customHeight="1" thickBot="1" x14ac:dyDescent="0.35">
      <c r="A27" s="10"/>
      <c r="B27" s="80" t="s">
        <v>32</v>
      </c>
      <c r="C27" s="80"/>
      <c r="D27" s="80"/>
      <c r="E27" s="81"/>
      <c r="F27" s="82"/>
      <c r="G27" s="82"/>
      <c r="H27" s="82"/>
      <c r="I27" s="82"/>
      <c r="J27" s="82"/>
      <c r="K27" s="82"/>
      <c r="L27" s="82"/>
      <c r="M27" s="82"/>
      <c r="N27" s="82"/>
      <c r="O27" s="53"/>
      <c r="P27" s="53"/>
      <c r="Q27" s="53"/>
      <c r="R27" s="53"/>
      <c r="S27" s="63"/>
      <c r="T27" s="37"/>
      <c r="U27" s="63"/>
      <c r="V27" s="63"/>
      <c r="W27" s="63"/>
      <c r="X27" s="63"/>
      <c r="Y27" s="63"/>
      <c r="Z27" s="53"/>
      <c r="AA27" s="53"/>
      <c r="AB27" s="53"/>
      <c r="AC27" s="54"/>
      <c r="AD27" s="37">
        <f>AA27</f>
        <v>0</v>
      </c>
    </row>
    <row r="28" spans="1:30" ht="45.75" hidden="1" customHeight="1" x14ac:dyDescent="0.3">
      <c r="A28" s="10"/>
      <c r="B28" s="23" t="s">
        <v>33</v>
      </c>
      <c r="C28" s="24"/>
      <c r="D28" s="25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53"/>
      <c r="P28" s="53"/>
      <c r="Q28" s="53"/>
      <c r="R28" s="53"/>
      <c r="S28" s="63"/>
      <c r="T28" s="37"/>
      <c r="U28" s="21"/>
      <c r="V28" s="21"/>
      <c r="W28" s="63"/>
      <c r="X28" s="63"/>
      <c r="Y28" s="63"/>
      <c r="Z28" s="53"/>
      <c r="AA28" s="53"/>
      <c r="AB28" s="53"/>
      <c r="AC28" s="54"/>
      <c r="AD28" s="37"/>
    </row>
    <row r="29" spans="1:30" ht="45.75" hidden="1" customHeight="1" thickBot="1" x14ac:dyDescent="0.35">
      <c r="A29" s="10"/>
      <c r="B29" s="40" t="s">
        <v>34</v>
      </c>
      <c r="C29" s="41"/>
      <c r="D29" s="42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4"/>
      <c r="P29" s="84"/>
      <c r="Q29" s="84"/>
      <c r="R29" s="84"/>
      <c r="S29" s="75"/>
      <c r="T29" s="85"/>
      <c r="U29" s="75"/>
      <c r="V29" s="75"/>
      <c r="W29" s="75"/>
      <c r="X29" s="75"/>
      <c r="Y29" s="75"/>
      <c r="Z29" s="84"/>
      <c r="AA29" s="84"/>
      <c r="AB29" s="84"/>
      <c r="AC29" s="86"/>
      <c r="AD29" s="85"/>
    </row>
    <row r="30" spans="1:30" ht="45.75" hidden="1" customHeight="1" x14ac:dyDescent="0.3">
      <c r="A30" s="10"/>
      <c r="B30" s="87" t="s">
        <v>35</v>
      </c>
      <c r="C30" s="87"/>
      <c r="D30" s="87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53"/>
      <c r="P30" s="53"/>
      <c r="Q30" s="53"/>
      <c r="R30" s="53"/>
      <c r="S30" s="63"/>
      <c r="T30" s="37"/>
      <c r="U30" s="63"/>
      <c r="V30" s="63"/>
      <c r="W30" s="63"/>
      <c r="X30" s="63"/>
      <c r="Y30" s="63"/>
      <c r="Z30" s="53"/>
      <c r="AA30" s="53"/>
      <c r="AB30" s="53"/>
      <c r="AC30" s="54"/>
      <c r="AD30" s="37">
        <f>AA30</f>
        <v>0</v>
      </c>
    </row>
    <row r="31" spans="1:30" ht="45.75" hidden="1" customHeight="1" x14ac:dyDescent="0.3">
      <c r="A31" s="10"/>
      <c r="B31" s="16" t="s">
        <v>36</v>
      </c>
      <c r="C31" s="17"/>
      <c r="D31" s="18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53"/>
      <c r="P31" s="53"/>
      <c r="Q31" s="53"/>
      <c r="R31" s="53"/>
      <c r="S31" s="63"/>
      <c r="T31" s="37"/>
      <c r="U31" s="21"/>
      <c r="V31" s="21"/>
      <c r="W31" s="63"/>
      <c r="X31" s="63"/>
      <c r="Y31" s="63"/>
      <c r="Z31" s="53"/>
      <c r="AA31" s="53"/>
      <c r="AB31" s="53"/>
      <c r="AC31" s="54"/>
      <c r="AD31" s="37"/>
    </row>
    <row r="32" spans="1:30" ht="45.75" hidden="1" customHeight="1" thickBot="1" x14ac:dyDescent="0.35">
      <c r="A32" s="10"/>
      <c r="B32" s="40" t="s">
        <v>37</v>
      </c>
      <c r="C32" s="41"/>
      <c r="D32" s="42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4"/>
      <c r="P32" s="84"/>
      <c r="Q32" s="84"/>
      <c r="R32" s="84"/>
      <c r="S32" s="75"/>
      <c r="T32" s="85"/>
      <c r="U32" s="75"/>
      <c r="V32" s="75"/>
      <c r="W32" s="75"/>
      <c r="X32" s="75"/>
      <c r="Y32" s="75"/>
      <c r="Z32" s="84"/>
      <c r="AA32" s="84"/>
      <c r="AB32" s="84"/>
      <c r="AC32" s="86"/>
      <c r="AD32" s="85"/>
    </row>
    <row r="33" spans="1:32" ht="27" hidden="1" customHeight="1" x14ac:dyDescent="0.3">
      <c r="A33" s="10"/>
      <c r="B33" s="87" t="s">
        <v>38</v>
      </c>
      <c r="C33" s="87"/>
      <c r="D33" s="87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53"/>
      <c r="P33" s="53"/>
      <c r="Q33" s="53"/>
      <c r="R33" s="53"/>
      <c r="S33" s="63"/>
      <c r="T33" s="37"/>
      <c r="U33" s="63"/>
      <c r="V33" s="63"/>
      <c r="W33" s="63"/>
      <c r="X33" s="63"/>
      <c r="Y33" s="63"/>
      <c r="Z33" s="53"/>
      <c r="AA33" s="53"/>
      <c r="AB33" s="53"/>
      <c r="AC33" s="54"/>
      <c r="AD33" s="37"/>
    </row>
    <row r="34" spans="1:32" ht="33.75" customHeight="1" x14ac:dyDescent="0.3">
      <c r="A34" s="10"/>
      <c r="B34" s="88" t="s">
        <v>22</v>
      </c>
      <c r="C34" s="89"/>
      <c r="D34" s="90"/>
      <c r="E34" s="82"/>
      <c r="F34" s="82"/>
      <c r="G34" s="82"/>
      <c r="H34" s="82"/>
      <c r="I34" s="82"/>
      <c r="J34" s="82"/>
      <c r="K34" s="82"/>
      <c r="L34" s="82"/>
      <c r="M34" s="82"/>
      <c r="N34" s="53">
        <f>(8128958481776)/1000000000</f>
        <v>8128.9584817759996</v>
      </c>
      <c r="O34" s="53">
        <f>(15753113497277)/1000000000</f>
        <v>15753.113497277</v>
      </c>
      <c r="P34" s="53">
        <f>(1543475122461)/1000000000</f>
        <v>1543.475122461</v>
      </c>
      <c r="Q34" s="53">
        <f>(12149710755536)/1000000000</f>
        <v>12149.710755536</v>
      </c>
      <c r="R34" s="53">
        <f>(30091261000000)/1000000000</f>
        <v>30091.260999999999</v>
      </c>
      <c r="S34" s="63"/>
      <c r="T34" s="37">
        <v>76697</v>
      </c>
      <c r="U34" s="21">
        <v>20710.597000000002</v>
      </c>
      <c r="V34" s="21">
        <v>7021.0788349140003</v>
      </c>
      <c r="W34" s="63">
        <v>7662</v>
      </c>
      <c r="X34" s="63">
        <v>4774</v>
      </c>
      <c r="Y34" s="63"/>
      <c r="Z34" s="53"/>
      <c r="AA34" s="37">
        <v>11.79076923076923</v>
      </c>
      <c r="AB34" s="37">
        <v>465550.99294642202</v>
      </c>
      <c r="AC34" s="49"/>
      <c r="AD34" s="37">
        <f>SUM(E34:AC34)</f>
        <v>650093.97840761673</v>
      </c>
    </row>
    <row r="35" spans="1:32" ht="33.75" customHeight="1" thickBot="1" x14ac:dyDescent="0.35">
      <c r="A35" s="10"/>
      <c r="B35" s="40" t="s">
        <v>23</v>
      </c>
      <c r="C35" s="41"/>
      <c r="D35" s="42"/>
      <c r="E35" s="91">
        <f t="shared" ref="E35:Z35" si="5">E26+E8+E14+E34+E17+E20+E25</f>
        <v>93.6</v>
      </c>
      <c r="F35" s="91">
        <f t="shared" si="5"/>
        <v>1012.764</v>
      </c>
      <c r="G35" s="91">
        <f t="shared" si="5"/>
        <v>2470.7170000000001</v>
      </c>
      <c r="H35" s="91">
        <f t="shared" si="5"/>
        <v>2813.0540000000001</v>
      </c>
      <c r="I35" s="91">
        <f t="shared" si="5"/>
        <v>1537.241</v>
      </c>
      <c r="J35" s="91">
        <f t="shared" si="5"/>
        <v>1636.2929999999999</v>
      </c>
      <c r="K35" s="91">
        <f t="shared" si="5"/>
        <v>6288.3720000000003</v>
      </c>
      <c r="L35" s="91">
        <f t="shared" si="5"/>
        <v>15014.574000000001</v>
      </c>
      <c r="M35" s="91">
        <f t="shared" si="5"/>
        <v>19496.367999999999</v>
      </c>
      <c r="N35" s="91">
        <f t="shared" si="5"/>
        <v>46244.958481775997</v>
      </c>
      <c r="O35" s="91">
        <f t="shared" si="5"/>
        <v>71003.113497276994</v>
      </c>
      <c r="P35" s="91">
        <f t="shared" si="5"/>
        <v>54715.948766954003</v>
      </c>
      <c r="Q35" s="91">
        <f t="shared" si="5"/>
        <v>144247.78398920401</v>
      </c>
      <c r="R35" s="91">
        <f t="shared" si="5"/>
        <v>163513.052431894</v>
      </c>
      <c r="S35" s="91">
        <f t="shared" si="5"/>
        <v>105248.62293532121</v>
      </c>
      <c r="T35" s="91">
        <f t="shared" si="5"/>
        <v>160683.94810004081</v>
      </c>
      <c r="U35" s="91">
        <f t="shared" si="5"/>
        <v>69310.520540978905</v>
      </c>
      <c r="V35" s="91">
        <f t="shared" si="5"/>
        <v>58655.54880835658</v>
      </c>
      <c r="W35" s="91">
        <f t="shared" si="5"/>
        <v>68553.351522306999</v>
      </c>
      <c r="X35" s="91">
        <f t="shared" si="5"/>
        <v>355881.73016167484</v>
      </c>
      <c r="Y35" s="91">
        <f t="shared" si="5"/>
        <v>18377</v>
      </c>
      <c r="Z35" s="91">
        <f t="shared" si="5"/>
        <v>329939.74</v>
      </c>
      <c r="AA35" s="91">
        <f>AA26+AA8+AA14+AA34+AA17+AA20+AA25</f>
        <v>273877.02655143774</v>
      </c>
      <c r="AB35" s="91">
        <f>AB26+AB8+AB14+AB34+AB17+AB20+AB25</f>
        <v>795210.55053582636</v>
      </c>
      <c r="AC35" s="91">
        <f>AC26+AC8+AC11+AC34+AC17+AC20+AC25</f>
        <v>229383.46734365341</v>
      </c>
      <c r="AD35" s="91">
        <f>SUM(E35:AC35)</f>
        <v>2995209.3466667021</v>
      </c>
    </row>
    <row r="36" spans="1:32" ht="14.25" hidden="1" customHeight="1" thickBot="1" x14ac:dyDescent="0.35">
      <c r="A36" s="10"/>
      <c r="B36" s="92" t="s">
        <v>39</v>
      </c>
      <c r="C36" s="93"/>
      <c r="D36" s="94"/>
      <c r="E36" s="95">
        <v>7.8E-2</v>
      </c>
      <c r="F36" s="95">
        <v>0.168794</v>
      </c>
      <c r="G36" s="95">
        <v>0.35295957142857143</v>
      </c>
      <c r="H36" s="95">
        <v>0.2557321818181818</v>
      </c>
      <c r="I36" s="95">
        <v>0.3074482</v>
      </c>
      <c r="J36" s="95">
        <v>0.22112067567567567</v>
      </c>
      <c r="K36" s="95">
        <v>0.2096124</v>
      </c>
      <c r="L36" s="95">
        <v>0.50048579999999998</v>
      </c>
      <c r="M36" s="95">
        <v>0.60736348909657312</v>
      </c>
      <c r="N36" s="95">
        <v>0.84655988888888889</v>
      </c>
      <c r="O36" s="95">
        <v>1.4</v>
      </c>
      <c r="P36" s="95">
        <f>(P34+P26+P8)/P3</f>
        <v>0.84178382718390765</v>
      </c>
      <c r="Q36" s="95">
        <f>Q35/Q3</f>
        <v>2.3265771611161936</v>
      </c>
      <c r="R36" s="95" t="s">
        <v>40</v>
      </c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6"/>
      <c r="AD36" s="97"/>
    </row>
    <row r="37" spans="1:32" s="103" customFormat="1" ht="15" customHeight="1" thickBot="1" x14ac:dyDescent="0.9">
      <c r="A37" s="98"/>
      <c r="B37" s="99"/>
      <c r="C37" s="99"/>
      <c r="D37" s="99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2"/>
    </row>
    <row r="38" spans="1:32" s="103" customFormat="1" ht="25.5" customHeight="1" x14ac:dyDescent="0.85">
      <c r="A38" s="104" t="s">
        <v>0</v>
      </c>
      <c r="B38" s="104"/>
      <c r="C38" s="104"/>
      <c r="D38" s="104"/>
      <c r="E38" s="105">
        <v>1380</v>
      </c>
      <c r="F38" s="105">
        <v>1381</v>
      </c>
      <c r="G38" s="105">
        <v>1382</v>
      </c>
      <c r="H38" s="105">
        <v>1383</v>
      </c>
      <c r="I38" s="105">
        <v>1384</v>
      </c>
      <c r="J38" s="105">
        <v>1385</v>
      </c>
      <c r="K38" s="105">
        <v>1386</v>
      </c>
      <c r="L38" s="105">
        <v>1387</v>
      </c>
      <c r="M38" s="105">
        <v>1388</v>
      </c>
      <c r="N38" s="105">
        <v>1389</v>
      </c>
      <c r="O38" s="105">
        <v>1390</v>
      </c>
      <c r="P38" s="105">
        <v>1391</v>
      </c>
      <c r="Q38" s="105">
        <v>1392</v>
      </c>
      <c r="R38" s="105">
        <v>1393</v>
      </c>
      <c r="S38" s="105">
        <v>1394</v>
      </c>
      <c r="T38" s="105">
        <v>1395</v>
      </c>
      <c r="U38" s="105">
        <v>1396</v>
      </c>
      <c r="V38" s="105">
        <v>1397</v>
      </c>
      <c r="W38" s="105">
        <v>1398</v>
      </c>
      <c r="X38" s="105">
        <v>1399</v>
      </c>
      <c r="Y38" s="105">
        <v>1400</v>
      </c>
      <c r="Z38" s="105">
        <v>1401</v>
      </c>
      <c r="AA38" s="105">
        <v>1402</v>
      </c>
      <c r="AB38" s="105">
        <v>1403</v>
      </c>
      <c r="AC38" s="105">
        <v>1404</v>
      </c>
      <c r="AD38" s="106" t="s">
        <v>1</v>
      </c>
    </row>
    <row r="39" spans="1:32" s="103" customFormat="1" ht="27" customHeight="1" x14ac:dyDescent="0.85">
      <c r="A39" s="107" t="s">
        <v>24</v>
      </c>
      <c r="B39" s="107"/>
      <c r="C39" s="107"/>
      <c r="D39" s="107"/>
      <c r="E39" s="1">
        <f t="shared" ref="E39:T39" si="6">E3+E13+E16+E19</f>
        <v>1200</v>
      </c>
      <c r="F39" s="1">
        <f t="shared" si="6"/>
        <v>6000</v>
      </c>
      <c r="G39" s="1">
        <f t="shared" si="6"/>
        <v>7000</v>
      </c>
      <c r="H39" s="1">
        <f t="shared" si="6"/>
        <v>11000</v>
      </c>
      <c r="I39" s="1">
        <f t="shared" si="6"/>
        <v>5000</v>
      </c>
      <c r="J39" s="1">
        <f t="shared" si="6"/>
        <v>7400</v>
      </c>
      <c r="K39" s="1">
        <f t="shared" si="6"/>
        <v>30000</v>
      </c>
      <c r="L39" s="1">
        <f t="shared" si="6"/>
        <v>30000</v>
      </c>
      <c r="M39" s="1">
        <f t="shared" si="6"/>
        <v>32100</v>
      </c>
      <c r="N39" s="1">
        <f t="shared" si="6"/>
        <v>45000</v>
      </c>
      <c r="O39" s="1">
        <f t="shared" si="6"/>
        <v>45000</v>
      </c>
      <c r="P39" s="1">
        <f t="shared" si="6"/>
        <v>65000</v>
      </c>
      <c r="Q39" s="1">
        <f t="shared" si="6"/>
        <v>312000</v>
      </c>
      <c r="R39" s="1">
        <f t="shared" si="6"/>
        <v>181000</v>
      </c>
      <c r="S39" s="1">
        <f t="shared" si="6"/>
        <v>181000</v>
      </c>
      <c r="T39" s="1">
        <f t="shared" si="6"/>
        <v>165500</v>
      </c>
      <c r="U39" s="1">
        <v>105000</v>
      </c>
      <c r="V39" s="1">
        <f>V3+V13+V16+V19</f>
        <v>71000</v>
      </c>
      <c r="W39" s="1">
        <f>W19+W16+W13+W3</f>
        <v>50750</v>
      </c>
      <c r="X39" s="56">
        <f>X19+X16+X13+X3+5000</f>
        <v>119871</v>
      </c>
      <c r="Y39" s="1">
        <v>959000</v>
      </c>
      <c r="Z39" s="1">
        <f>Z19+Z16+Z13+Z3</f>
        <v>712000</v>
      </c>
      <c r="AA39" s="56">
        <f>AA3+AA13+AA19+AA22</f>
        <v>1060000</v>
      </c>
      <c r="AB39" s="108">
        <f>AB3+AB13+AB19+AB22</f>
        <v>600000</v>
      </c>
      <c r="AC39" s="108">
        <f>AC3+AC13+AC10+AC19+AC22</f>
        <v>2151500</v>
      </c>
      <c r="AD39" s="109">
        <f>SUM(E39:AC39)</f>
        <v>6953321</v>
      </c>
    </row>
    <row r="40" spans="1:32" s="103" customFormat="1" ht="33" customHeight="1" x14ac:dyDescent="0.85">
      <c r="A40" s="107" t="s">
        <v>25</v>
      </c>
      <c r="B40" s="107"/>
      <c r="C40" s="107"/>
      <c r="D40" s="107"/>
      <c r="E40" s="56">
        <f t="shared" ref="E40:V40" si="7">E8+E14+E17+E20+E25+E26+E34</f>
        <v>93.6</v>
      </c>
      <c r="F40" s="1">
        <f t="shared" si="7"/>
        <v>1012.764</v>
      </c>
      <c r="G40" s="1">
        <f t="shared" si="7"/>
        <v>2470.7170000000001</v>
      </c>
      <c r="H40" s="1">
        <f t="shared" si="7"/>
        <v>2813.0540000000001</v>
      </c>
      <c r="I40" s="1">
        <f t="shared" si="7"/>
        <v>1537.241</v>
      </c>
      <c r="J40" s="1">
        <f t="shared" si="7"/>
        <v>1636.2929999999999</v>
      </c>
      <c r="K40" s="1">
        <f t="shared" si="7"/>
        <v>6288.3720000000003</v>
      </c>
      <c r="L40" s="1">
        <f t="shared" si="7"/>
        <v>15014.574000000001</v>
      </c>
      <c r="M40" s="1">
        <f t="shared" si="7"/>
        <v>19496.367999999999</v>
      </c>
      <c r="N40" s="1">
        <f t="shared" si="7"/>
        <v>46244.958481775997</v>
      </c>
      <c r="O40" s="1">
        <f t="shared" si="7"/>
        <v>71003.113497276994</v>
      </c>
      <c r="P40" s="1">
        <f t="shared" si="7"/>
        <v>54715.948766954003</v>
      </c>
      <c r="Q40" s="1">
        <f t="shared" si="7"/>
        <v>144247.78398920401</v>
      </c>
      <c r="R40" s="1">
        <f t="shared" si="7"/>
        <v>163513.052431894</v>
      </c>
      <c r="S40" s="1">
        <f t="shared" si="7"/>
        <v>105248.62293532121</v>
      </c>
      <c r="T40" s="1">
        <f t="shared" si="7"/>
        <v>160683.94810004078</v>
      </c>
      <c r="U40" s="1">
        <f t="shared" si="7"/>
        <v>69310.52054097892</v>
      </c>
      <c r="V40" s="1">
        <f t="shared" si="7"/>
        <v>58655.54880835658</v>
      </c>
      <c r="W40" s="1">
        <f t="shared" ref="W40:AA40" si="8">W35</f>
        <v>68553.351522306999</v>
      </c>
      <c r="X40" s="56">
        <f t="shared" si="8"/>
        <v>355881.73016167484</v>
      </c>
      <c r="Y40" s="56">
        <f t="shared" si="8"/>
        <v>18377</v>
      </c>
      <c r="Z40" s="1">
        <f t="shared" si="8"/>
        <v>329939.74</v>
      </c>
      <c r="AA40" s="56">
        <f t="shared" si="8"/>
        <v>273877.02655143774</v>
      </c>
      <c r="AB40" s="108">
        <f>AB35</f>
        <v>795210.55053582636</v>
      </c>
      <c r="AC40" s="108">
        <f>AC35</f>
        <v>229383.46734365341</v>
      </c>
      <c r="AD40" s="109">
        <f>SUM(E40:AC40)</f>
        <v>2995209.3466667021</v>
      </c>
    </row>
    <row r="41" spans="1:32" s="103" customFormat="1" ht="27.75" customHeight="1" x14ac:dyDescent="0.85">
      <c r="A41" s="107" t="s">
        <v>26</v>
      </c>
      <c r="B41" s="107"/>
      <c r="C41" s="107"/>
      <c r="D41" s="107"/>
      <c r="E41" s="110">
        <f>E40/E39</f>
        <v>7.8E-2</v>
      </c>
      <c r="F41" s="110">
        <f t="shared" ref="F41:AD41" si="9">F40/F39</f>
        <v>0.168794</v>
      </c>
      <c r="G41" s="110">
        <f t="shared" si="9"/>
        <v>0.35295957142857143</v>
      </c>
      <c r="H41" s="110">
        <f t="shared" si="9"/>
        <v>0.2557321818181818</v>
      </c>
      <c r="I41" s="110">
        <f t="shared" si="9"/>
        <v>0.3074482</v>
      </c>
      <c r="J41" s="110">
        <f t="shared" si="9"/>
        <v>0.22112067567567567</v>
      </c>
      <c r="K41" s="110">
        <f t="shared" si="9"/>
        <v>0.2096124</v>
      </c>
      <c r="L41" s="110">
        <f t="shared" si="9"/>
        <v>0.50048579999999998</v>
      </c>
      <c r="M41" s="110">
        <f t="shared" si="9"/>
        <v>0.60736348909657312</v>
      </c>
      <c r="N41" s="110">
        <f t="shared" si="9"/>
        <v>1.0276657440394665</v>
      </c>
      <c r="O41" s="110">
        <f t="shared" si="9"/>
        <v>1.5778469666061554</v>
      </c>
      <c r="P41" s="110">
        <f t="shared" si="9"/>
        <v>0.84178382718390776</v>
      </c>
      <c r="Q41" s="110">
        <f t="shared" si="9"/>
        <v>0.46233264099103849</v>
      </c>
      <c r="R41" s="110">
        <f t="shared" si="9"/>
        <v>0.90338703001046405</v>
      </c>
      <c r="S41" s="110">
        <f t="shared" si="9"/>
        <v>0.5814841046150343</v>
      </c>
      <c r="T41" s="110">
        <f t="shared" si="9"/>
        <v>0.97089998851988391</v>
      </c>
      <c r="U41" s="110">
        <f t="shared" si="9"/>
        <v>0.66010019562837063</v>
      </c>
      <c r="V41" s="110">
        <f t="shared" si="9"/>
        <v>0.82613449025854335</v>
      </c>
      <c r="W41" s="110">
        <f t="shared" si="9"/>
        <v>1.3508049561045714</v>
      </c>
      <c r="X41" s="110">
        <f t="shared" si="9"/>
        <v>2.9688726227500801</v>
      </c>
      <c r="Y41" s="110">
        <f t="shared" si="9"/>
        <v>1.916266944734098E-2</v>
      </c>
      <c r="Z41" s="110">
        <f t="shared" si="9"/>
        <v>0.46339851123595505</v>
      </c>
      <c r="AA41" s="110">
        <f t="shared" si="9"/>
        <v>0.25837455335041298</v>
      </c>
      <c r="AB41" s="110">
        <f t="shared" si="9"/>
        <v>1.3253509175597107</v>
      </c>
      <c r="AC41" s="111">
        <f>AC40/AC39</f>
        <v>0.10661560183297858</v>
      </c>
      <c r="AD41" s="110">
        <f t="shared" si="9"/>
        <v>0.43075953873935952</v>
      </c>
    </row>
    <row r="42" spans="1:32" ht="33" x14ac:dyDescent="0.3"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</row>
    <row r="43" spans="1:32" x14ac:dyDescent="0.3">
      <c r="AF43" s="113" t="e">
        <f>#REF!*1000000000</f>
        <v>#REF!</v>
      </c>
    </row>
  </sheetData>
  <mergeCells count="38">
    <mergeCell ref="A39:D39"/>
    <mergeCell ref="A40:D40"/>
    <mergeCell ref="A41:D41"/>
    <mergeCell ref="S42:AD42"/>
    <mergeCell ref="B32:D32"/>
    <mergeCell ref="B33:D33"/>
    <mergeCell ref="B34:D34"/>
    <mergeCell ref="B35:D35"/>
    <mergeCell ref="B36:D36"/>
    <mergeCell ref="A38:D38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4:D14"/>
    <mergeCell ref="B15:D15"/>
    <mergeCell ref="B16:D16"/>
    <mergeCell ref="B17:D17"/>
    <mergeCell ref="B18:D18"/>
    <mergeCell ref="B19:D19"/>
    <mergeCell ref="A1:AD1"/>
    <mergeCell ref="B2:D2"/>
    <mergeCell ref="A3:A36"/>
    <mergeCell ref="B3:D3"/>
    <mergeCell ref="B4:D8"/>
    <mergeCell ref="B9:D9"/>
    <mergeCell ref="B10:D10"/>
    <mergeCell ref="B11:D11"/>
    <mergeCell ref="B12:D12"/>
    <mergeCell ref="B13:D13"/>
  </mergeCells>
  <printOptions horizontalCentered="1" verticalCentered="1"/>
  <pageMargins left="0.25" right="0.25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واريزي ب خزانه</vt:lpstr>
      <vt:lpstr>'واريزي ب خزانه'!Print_Area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مینا طایفه</dc:creator>
  <cp:lastModifiedBy>مريم خسروي</cp:lastModifiedBy>
  <dcterms:created xsi:type="dcterms:W3CDTF">2025-07-19T05:38:37Z</dcterms:created>
  <dcterms:modified xsi:type="dcterms:W3CDTF">2026-02-24T10:25:10Z</dcterms:modified>
</cp:coreProperties>
</file>